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ttonEAA\Music\CQU\Accounts and Communication\Company\"/>
    </mc:Choice>
  </mc:AlternateContent>
  <xr:revisionPtr revIDLastSave="0" documentId="13_ncr:1_{5FD3BBB8-78CE-4D59-A435-91E4D09E8458}" xr6:coauthVersionLast="47" xr6:coauthVersionMax="47" xr10:uidLastSave="{00000000-0000-0000-0000-000000000000}"/>
  <workbookProtection workbookAlgorithmName="SHA-512" workbookHashValue="aSUrMdq3SrQX0IzP3sCuH8eE5eodQLE/AmtHo6SS84jTLDQWZc8QGihEozZv1J2wbr3ulRaQGRZa8Y0LiDO+Ng==" workbookSaltValue="dBugOYAYVm07PJ+jTBjMPg==" workbookSpinCount="100000" lockStructure="1"/>
  <bookViews>
    <workbookView xWindow="-108" yWindow="-108" windowWidth="23256" windowHeight="12456" xr2:uid="{00000000-000D-0000-FFFF-FFFF00000000}"/>
  </bookViews>
  <sheets>
    <sheet name="Financial Statements" sheetId="1" r:id="rId1"/>
    <sheet name="Ratios" sheetId="4" r:id="rId2"/>
    <sheet name="NPV, IRR" sheetId="9" r:id="rId3"/>
    <sheet name="Wesfarmers Example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K13" i="4"/>
  <c r="E29" i="4"/>
  <c r="F29" i="4"/>
  <c r="G29" i="4"/>
  <c r="D29" i="4"/>
  <c r="E21" i="4"/>
  <c r="F21" i="4"/>
  <c r="G21" i="4"/>
  <c r="D21" i="4"/>
  <c r="G12" i="4"/>
  <c r="E12" i="4"/>
  <c r="F12" i="4"/>
  <c r="D12" i="4"/>
  <c r="C15" i="8"/>
  <c r="B33" i="9"/>
  <c r="C33" i="9" s="1"/>
  <c r="D33" i="9" s="1"/>
  <c r="E33" i="9" s="1"/>
  <c r="F33" i="9" s="1"/>
  <c r="L32" i="9"/>
  <c r="L26" i="9"/>
  <c r="C15" i="9"/>
  <c r="D15" i="9" s="1"/>
  <c r="I14" i="9"/>
  <c r="B29" i="9"/>
  <c r="B27" i="9"/>
  <c r="I8" i="9"/>
  <c r="C13" i="9"/>
  <c r="D13" i="9"/>
  <c r="E13" i="9"/>
  <c r="F13" i="9"/>
  <c r="G13" i="9"/>
  <c r="H13" i="9"/>
  <c r="I13" i="9"/>
  <c r="J13" i="9"/>
  <c r="K13" i="9"/>
  <c r="L13" i="9"/>
  <c r="B13" i="9"/>
  <c r="G44" i="4"/>
  <c r="F44" i="4"/>
  <c r="E44" i="4"/>
  <c r="L2" i="4"/>
  <c r="M2" i="4"/>
  <c r="N2" i="4"/>
  <c r="K2" i="4"/>
  <c r="L3" i="4"/>
  <c r="M3" i="4"/>
  <c r="N3" i="4"/>
  <c r="K3" i="4"/>
  <c r="D7" i="4"/>
  <c r="L19" i="4"/>
  <c r="E26" i="4" s="1"/>
  <c r="M19" i="4"/>
  <c r="F26" i="4" s="1"/>
  <c r="N19" i="4"/>
  <c r="G26" i="4" s="1"/>
  <c r="L18" i="4"/>
  <c r="E27" i="4" s="1"/>
  <c r="M18" i="4"/>
  <c r="F27" i="4" s="1"/>
  <c r="N18" i="4"/>
  <c r="G27" i="4" s="1"/>
  <c r="L17" i="4"/>
  <c r="M17" i="4"/>
  <c r="N17" i="4"/>
  <c r="L14" i="4"/>
  <c r="E23" i="4" s="1"/>
  <c r="M14" i="4"/>
  <c r="F23" i="4" s="1"/>
  <c r="N14" i="4"/>
  <c r="L13" i="4"/>
  <c r="M13" i="4"/>
  <c r="N13" i="4"/>
  <c r="L11" i="4"/>
  <c r="M11" i="4"/>
  <c r="N11" i="4"/>
  <c r="L10" i="4"/>
  <c r="E30" i="4" s="1"/>
  <c r="E31" i="4" s="1"/>
  <c r="L9" i="4"/>
  <c r="M9" i="4"/>
  <c r="N9" i="4"/>
  <c r="L8" i="4"/>
  <c r="M8" i="4"/>
  <c r="N8" i="4"/>
  <c r="L7" i="4"/>
  <c r="M7" i="4"/>
  <c r="N7" i="4"/>
  <c r="L6" i="4"/>
  <c r="M6" i="4"/>
  <c r="N6" i="4"/>
  <c r="L5" i="4"/>
  <c r="M5" i="4"/>
  <c r="N5" i="4"/>
  <c r="L4" i="4"/>
  <c r="M4" i="4"/>
  <c r="N4" i="4"/>
  <c r="K19" i="4"/>
  <c r="K14" i="4"/>
  <c r="K17" i="4"/>
  <c r="K18" i="4"/>
  <c r="D27" i="4" s="1"/>
  <c r="K11" i="4"/>
  <c r="K9" i="4"/>
  <c r="K7" i="4"/>
  <c r="K6" i="4"/>
  <c r="K5" i="4"/>
  <c r="D87" i="1"/>
  <c r="G38" i="4"/>
  <c r="D109" i="1"/>
  <c r="E109" i="1"/>
  <c r="F109" i="1"/>
  <c r="G109" i="1"/>
  <c r="D100" i="1"/>
  <c r="E100" i="1"/>
  <c r="G100" i="1"/>
  <c r="G94" i="1"/>
  <c r="D52" i="1"/>
  <c r="D20" i="1"/>
  <c r="E20" i="1"/>
  <c r="F20" i="1"/>
  <c r="G20" i="1"/>
  <c r="E69" i="1"/>
  <c r="F69" i="1"/>
  <c r="G69" i="1"/>
  <c r="D69" i="1"/>
  <c r="E87" i="1"/>
  <c r="F100" i="1"/>
  <c r="D94" i="1"/>
  <c r="E94" i="1"/>
  <c r="F94" i="1"/>
  <c r="F87" i="1"/>
  <c r="G87" i="1"/>
  <c r="D79" i="1"/>
  <c r="E79" i="1"/>
  <c r="F79" i="1"/>
  <c r="G79" i="1"/>
  <c r="F68" i="1"/>
  <c r="E68" i="1"/>
  <c r="D68" i="1"/>
  <c r="E60" i="1"/>
  <c r="F60" i="1"/>
  <c r="E52" i="1"/>
  <c r="F52" i="1"/>
  <c r="F43" i="1"/>
  <c r="D36" i="1"/>
  <c r="E36" i="1"/>
  <c r="F36" i="1"/>
  <c r="G36" i="1"/>
  <c r="G68" i="1"/>
  <c r="G60" i="1"/>
  <c r="G52" i="1"/>
  <c r="D43" i="1"/>
  <c r="K8" i="4" s="1"/>
  <c r="E43" i="1"/>
  <c r="G43" i="1"/>
  <c r="O16" i="1"/>
  <c r="G13" i="1"/>
  <c r="F13" i="1"/>
  <c r="E13" i="1"/>
  <c r="D13" i="1"/>
  <c r="B30" i="8"/>
  <c r="C30" i="8"/>
  <c r="D30" i="8"/>
  <c r="E30" i="8"/>
  <c r="F30" i="8" s="1"/>
  <c r="G30" i="8" s="1"/>
  <c r="H30" i="8" s="1"/>
  <c r="I30" i="8" s="1"/>
  <c r="J30" i="8" s="1"/>
  <c r="K30" i="8" s="1"/>
  <c r="L30" i="8" s="1"/>
  <c r="L29" i="8"/>
  <c r="L23" i="8"/>
  <c r="B26" i="8" s="1"/>
  <c r="B24" i="8"/>
  <c r="B13" i="8"/>
  <c r="C13" i="8" s="1"/>
  <c r="D13" i="8" s="1"/>
  <c r="E13" i="8" s="1"/>
  <c r="F13" i="8" s="1"/>
  <c r="G13" i="8" s="1"/>
  <c r="H13" i="8" s="1"/>
  <c r="L12" i="8"/>
  <c r="L6" i="8"/>
  <c r="B7" i="8" s="1"/>
  <c r="B9" i="8"/>
  <c r="F5" i="1"/>
  <c r="G5" i="4"/>
  <c r="G76" i="1"/>
  <c r="F30" i="1"/>
  <c r="G29" i="1"/>
  <c r="D30" i="1"/>
  <c r="G30" i="1"/>
  <c r="E30" i="1"/>
  <c r="B4" i="4"/>
  <c r="B2" i="4"/>
  <c r="B75" i="1"/>
  <c r="B73" i="1"/>
  <c r="B26" i="1"/>
  <c r="B9" i="9" l="1"/>
  <c r="G35" i="9"/>
  <c r="G37" i="9"/>
  <c r="G36" i="9"/>
  <c r="G33" i="9"/>
  <c r="H33" i="9" s="1"/>
  <c r="I33" i="9" s="1"/>
  <c r="J33" i="9" s="1"/>
  <c r="K33" i="9" s="1"/>
  <c r="L33" i="9" s="1"/>
  <c r="E17" i="9"/>
  <c r="E15" i="9"/>
  <c r="F15" i="9" s="1"/>
  <c r="G15" i="9" s="1"/>
  <c r="H15" i="9" s="1"/>
  <c r="I15" i="9" s="1"/>
  <c r="E19" i="9"/>
  <c r="E18" i="9"/>
  <c r="G23" i="4"/>
  <c r="F22" i="4"/>
  <c r="D23" i="4"/>
  <c r="E22" i="4"/>
  <c r="D26" i="4"/>
  <c r="D8" i="4"/>
  <c r="F9" i="4"/>
  <c r="E16" i="4"/>
  <c r="G22" i="4"/>
  <c r="G9" i="4"/>
  <c r="F16" i="4"/>
  <c r="E9" i="4"/>
  <c r="G16" i="4"/>
  <c r="E18" i="4"/>
  <c r="E17" i="4"/>
  <c r="G18" i="4"/>
  <c r="G17" i="4"/>
  <c r="D16" i="4"/>
  <c r="D18" i="4"/>
  <c r="D17" i="4"/>
  <c r="E8" i="4"/>
  <c r="E7" i="4"/>
  <c r="F8" i="4"/>
  <c r="F7" i="4"/>
  <c r="G8" i="4"/>
  <c r="F18" i="4"/>
  <c r="F17" i="4"/>
  <c r="E28" i="4"/>
  <c r="F28" i="4"/>
  <c r="G28" i="4"/>
  <c r="D28" i="4"/>
  <c r="E13" i="4"/>
  <c r="F13" i="4"/>
  <c r="G13" i="4"/>
  <c r="G61" i="1"/>
  <c r="D110" i="1"/>
  <c r="E110" i="1"/>
  <c r="E5" i="1"/>
  <c r="F38" i="4"/>
  <c r="F110" i="1"/>
  <c r="G110" i="1"/>
  <c r="G21" i="1"/>
  <c r="F8" i="1" s="1"/>
  <c r="F21" i="1" s="1"/>
  <c r="E8" i="1" s="1"/>
  <c r="F61" i="1"/>
  <c r="E53" i="1"/>
  <c r="G44" i="1"/>
  <c r="G53" i="1"/>
  <c r="D61" i="1"/>
  <c r="D44" i="1"/>
  <c r="K4" i="4" s="1"/>
  <c r="D53" i="1"/>
  <c r="E61" i="1"/>
  <c r="E44" i="1"/>
  <c r="F44" i="1"/>
  <c r="F53" i="1"/>
  <c r="I13" i="8"/>
  <c r="J13" i="8" s="1"/>
  <c r="K13" i="8" s="1"/>
  <c r="L13" i="8" s="1"/>
  <c r="C16" i="8"/>
  <c r="C17" i="8"/>
  <c r="F5" i="4"/>
  <c r="F76" i="1"/>
  <c r="F29" i="1"/>
  <c r="D22" i="4" l="1"/>
  <c r="D9" i="4"/>
  <c r="D13" i="4"/>
  <c r="B11" i="9"/>
  <c r="D112" i="1"/>
  <c r="E112" i="1"/>
  <c r="E38" i="4"/>
  <c r="D5" i="1"/>
  <c r="E76" i="1"/>
  <c r="E29" i="1"/>
  <c r="E5" i="4"/>
  <c r="F112" i="1"/>
  <c r="G112" i="1"/>
  <c r="G62" i="1"/>
  <c r="N10" i="4" s="1"/>
  <c r="G30" i="4" s="1"/>
  <c r="G31" i="4" s="1"/>
  <c r="E21" i="1"/>
  <c r="D8" i="1" s="1"/>
  <c r="D21" i="1" s="1"/>
  <c r="F62" i="1"/>
  <c r="M10" i="4" s="1"/>
  <c r="F30" i="4" s="1"/>
  <c r="F31" i="4" s="1"/>
  <c r="D62" i="1"/>
  <c r="K10" i="4" s="1"/>
  <c r="D30" i="4" s="1"/>
  <c r="D31" i="4" s="1"/>
  <c r="E62" i="1"/>
  <c r="D38" i="4" l="1"/>
  <c r="D29" i="1"/>
  <c r="D76" i="1"/>
  <c r="D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turnerm</author>
    <author>Martin</author>
    <author>tc={D01AC2C4-316E-438A-A69E-81871F092AAA}</author>
    <author>tc={E3E0D929-DBC9-40C2-95FA-1B3AA1F4E78D}</author>
    <author>tc={6068A01B-7983-471D-8BB9-67E97DE6B687}</author>
    <author>tc={2DDDEE83-E656-4EDB-A3E8-A5544F9F7D0D}</author>
    <author>tc={E577375E-7202-40CE-B620-D3780E71011D}</author>
  </authors>
  <commentList>
    <comment ref="D5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E5" authorId="0" shapeId="0" xr:uid="{00000000-0006-0000-0000-000002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F5" authorId="0" shapeId="0" xr:uid="{00000000-0006-0000-0000-000003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5" authorId="0" shapeId="0" xr:uid="{00000000-0006-0000-0000-000004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6" authorId="1" shapeId="0" xr:uid="{00000000-0006-0000-0000-000005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 Insert currency used in your firm's financial statements and it will change the whole spreadsheet for you.</t>
        </r>
      </text>
    </comment>
    <comment ref="A32" authorId="2" shapeId="0" xr:uid="{D01AC2C4-316E-438A-A69E-81871F092AA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Cash flow forecasts, and an applied growth rates are used to assess if a reduction (Impairment is needed)
</t>
      </text>
    </comment>
    <comment ref="A34" authorId="3" shapeId="0" xr:uid="{E3E0D929-DBC9-40C2-95FA-1B3AA1F4E78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Properties used to earn rental income and capital appreciation</t>
      </text>
    </comment>
    <comment ref="A42" authorId="4" shapeId="0" xr:uid="{6068A01B-7983-471D-8BB9-67E97DE6B6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Interest on deposits benefited from higher interest rates .</t>
      </text>
    </comment>
    <comment ref="A49" authorId="5" shapeId="0" xr:uid="{2DDDEE83-E656-4EDB-A3E8-A5544F9F7D0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Group leases several assets including buildings, plant and vehicles also incuring Interest on lease liability's</t>
      </text>
    </comment>
    <comment ref="A51" authorId="6" shapeId="0" xr:uid="{E577375E-7202-40CE-B620-D3780E71011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Providing for future expenses such as, self-insurance, contract &amp; Legal as well as property dilapidation and personnel-related provisions  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tc={4931786A-6393-4365-98E4-5FF65093F18C}</author>
    <author>tc={7B93652D-E2D6-43F3-BE3C-80C447D864A2}</author>
    <author>tc={9A99104F-03E2-4B5C-BEE2-A380369210BE}</author>
    <author>tc={DDEEE7ED-BB10-4AE1-9D3C-19FECDBE8141}</author>
    <author>tc={D539AE10-266C-48FB-B7B7-4047B553B1BF}</author>
    <author>tc={12AAD13E-F526-453C-8DEE-8C342C7F5D62}</author>
    <author>tc={220F9A8F-6BD8-4570-8379-A037405DDFDA}</author>
    <author>tc={33A164B3-EEB0-4EBA-A917-D898D3BF20AE}</author>
    <author>tc={35555368-3CFE-4F19-935D-70D8F46B6ACA}</author>
    <author>tc={C92DE9AF-CFFC-4FE6-83BE-D39E2D53C3B0}</author>
    <author>tc={8E50CE25-937A-4943-807F-6E8098E554C5}</author>
    <author>tc={107D4D60-365D-4C31-90B1-E200FB9EC608}</author>
    <author>tc={4760BA00-3B06-46AD-83AA-D78B1FD295B9}</author>
    <author>tc={267561FB-1CFF-44EB-9BD6-27508E8E1FE6}</author>
    <author>tc={8C210E9B-2F03-410E-AB26-052BAB75491B}</author>
    <author>tc={2E95932D-3880-4108-93EE-2E8A83CA7C15}</author>
    <author>tc={45CF639F-CDE5-4D55-9D2A-8B3A2A4FF7BC}</author>
    <author>tc={1FC541FF-0B8B-4883-9724-81E5393BCD8B}</author>
    <author>tc={2944F8C0-2DC4-4053-9D85-E56C1EFBBE5B}</author>
    <author>tc={65ECC76C-0306-4A56-8849-8837B128A606}</author>
    <author>tc={6DA549BB-BD33-4173-967B-6A8E22B6C4EE}</author>
    <author>tc={BC9DE4C1-2835-4D43-9EF1-14478D7A8B85}</author>
    <author>tc={4C18184E-ADEB-4DF0-9AA8-93B43086FF19}</author>
    <author>tc={CE22B01A-7D06-4C92-AD37-E2EE5471C218}</author>
    <author>tc={CDB64278-DAAA-48B0-A4B0-BBEB8584580E}</author>
    <author>tc={A449F04B-A4BD-4456-BB73-2AA6F626B653}</author>
    <author>tc={FEBE251C-FFBC-47C4-9E19-7CAE1D021AAE}</author>
    <author>tc={0ADE7912-9299-43AC-8690-27998E233BCC}</author>
    <author>tc={2F39FA4B-01FB-49E4-93DF-EB69154D7F8D}</author>
    <author>tc={55B0D66E-67B4-4F5E-87E9-E6640F4ED1B1}</author>
    <author>tc={64DB5FB6-9206-431D-A175-27217A06BF43}</author>
    <author>tc={E4FB3645-510E-440F-BAD6-D93C2C6D785F}</author>
    <author>tc={3762E598-BEF0-4616-AB0B-96BE35105554}</author>
    <author>tc={89C4BB20-3502-4F4C-B156-D662533E7D46}</author>
    <author>tc={52AC65AE-096A-433D-9877-9447DAC816FE}</author>
    <author>tc={EBFE3F59-46DE-4630-990C-C37393E91D25}</author>
    <author>tc={EB37994D-EAD6-4D0D-BAE0-52EA615A020C}</author>
    <author>tc={186EEF4E-D388-4EC8-B627-BAFBCA339E75}</author>
    <author>tc={A63F3482-E1C8-42B0-AB52-C1FADDD8FBFD}</author>
    <author>tc={3A36E383-578D-461D-BD95-4027A5DFF2F7}</author>
    <author>tc={CED21A8C-1DBD-492B-8B62-0E5D6E4E6C34}</author>
  </authors>
  <commentList>
    <comment ref="J2" authorId="0" shapeId="0" xr:uid="{4931786A-6393-4365-98E4-5FF65093F1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Reflects profit after direct production or contract delivery costs, before deducing admi expenses, financial costs, tax, share of joint ventures, etc and compliant with IFRS </t>
      </text>
    </comment>
    <comment ref="J4" authorId="1" shapeId="0" xr:uid="{7B93652D-E2D6-43F3-BE3C-80C447D864A2}">
      <text>
        <t>[Threaded comment]
Your version of Excel allows you to read this threaded comment; however, any edits to it will get removed if the file is opened in a newer version of Excel. Learn more: https://go.microsoft.com/fwlink/?linkid=870924
Comment:
    Goodwill &amp; Intangibles
Property plant and equipment
Investment property
Joint ventures
Inventory
Contract Assets
Trade and other receivables
Cash &amp; cash equivalents</t>
      </text>
    </comment>
    <comment ref="J5" authorId="2" shapeId="0" xr:uid="{9A99104F-03E2-4B5C-BEE2-A380369210BE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 in progress-
Primarily housing, commercial and mixed-use development under contract
&amp;
LAND</t>
      </text>
    </comment>
    <comment ref="J6" authorId="3" shapeId="0" xr:uid="{DDEEE7ED-BB10-4AE1-9D3C-19FECDBE814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Amounts owed to subcontractors
Trade payables
Contract liabilities
Taxes due
Short-term liabilities </t>
      </text>
    </comment>
    <comment ref="O6" authorId="4" shapeId="0" xr:uid="{D539AE10-266C-48FB-B7B7-4047B553B1BF}">
      <text>
        <t>[Threaded comment]
Your version of Excel allows you to read this threaded comment; however, any edits to it will get removed if the file is opened in a newer version of Excel. Learn more: https://go.microsoft.com/fwlink/?linkid=870924
Comment:
    Large amount reflects scale</t>
      </text>
    </comment>
    <comment ref="H7" authorId="5" shapeId="0" xr:uid="{12AAD13E-F526-453C-8DEE-8C342C7F5D62}">
      <text>
        <t>[Threaded comment]
Your version of Excel allows you to read this threaded comment; however, any edits to it will get removed if the file is opened in a newer version of Excel. Learn more: https://go.microsoft.com/fwlink/?linkid=870924
Comment:
    We want to see year-on-year improvement.
When this trends upwards a rising cost margin suggests the company is becoming more efficient, operationally strong and better at controlling direct costs.</t>
      </text>
    </comment>
    <comment ref="I7" authorId="6" shapeId="0" xr:uid="{220F9A8F-6BD8-4570-8379-A037405DDFDA}">
      <text>
        <t>[Threaded comment]
Your version of Excel allows you to read this threaded comment; however, any edits to it will get removed if the file is opened in a newer version of Excel. Learn more: https://go.microsoft.com/fwlink/?linkid=870924
Comment:
    An ideal GPM is smooth, predictable and slowly rising, construction margins are sensitive to material inflation, labour costs, subcontractor markets (stability signal good project control and strong supply chain management.</t>
      </text>
    </comment>
    <comment ref="J7" authorId="7" shapeId="0" xr:uid="{33A164B3-EEB0-4EBA-A917-D898D3BF20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external shareholders or minority stakes</t>
      </text>
    </comment>
    <comment ref="O7" authorId="8" shapeId="0" xr:uid="{35555368-3CFE-4F19-935D-70D8F46B6AC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Strong equity position + high cash flow = very low risk
</t>
      </text>
    </comment>
    <comment ref="H8" authorId="9" shapeId="0" xr:uid="{C92DE9AF-CFFC-4FE6-83BE-D39E2D53C3B0}">
      <text>
        <t>[Threaded comment]
Your version of Excel allows you to read this threaded comment; however, any edits to it will get removed if the file is opened in a newer version of Excel. Learn more: https://go.microsoft.com/fwlink/?linkid=870924
Comment:
    We want to see upward and stable increase.
(stable but low) 
This margin is typical for construction.</t>
      </text>
    </comment>
    <comment ref="J8" authorId="10" shapeId="0" xr:uid="{8E50CE25-937A-4943-807F-6E8098E554C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Inventory
Contract assets
Trade &amp; other receivables
Current tax assets
Cash &amp; cash equivalent
</t>
      </text>
    </comment>
    <comment ref="O8" authorId="11" shapeId="0" xr:uid="{107D4D60-365D-4C31-90B1-E200FB9EC60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Significant liquid &amp; near-liquid assets </t>
      </text>
    </comment>
    <comment ref="H9" authorId="12" shapeId="0" xr:uid="{4760BA00-3B06-46AD-83AA-D78B1FD295B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positive, improving trend,
Increasing in line with NPM</t>
      </text>
    </comment>
    <comment ref="I9" authorId="13" shapeId="0" xr:uid="{267561FB-1CFF-44EB-9BD6-27508E8E1FE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company is becoming more efficient at turning its assets into real profit.
</t>
      </text>
    </comment>
    <comment ref="J10" authorId="14" shapeId="0" xr:uid="{8C210E9B-2F03-410E-AB26-052BAB7549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Normal value of shared  &amp; amount paid in share premium + minor capital reserves + accumulated profit after Dividends.</t>
      </text>
    </comment>
    <comment ref="J11" authorId="15" shapeId="0" xr:uid="{2E95932D-3880-4108-93EE-2E8A83CA7C15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Amounts due from customers
Certified but unpaid invoices
Other short-term debtors</t>
      </text>
    </comment>
    <comment ref="H12" authorId="16" shapeId="0" xr:uid="{45CF639F-CDE5-4D55-9D2A-8B3A2A4FF7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Inventory holding period.
Inventory many consist of Land, WIP and materials for construction. 
This number reflects how efficiently the company turns land &amp; development stock into completed billable works.
</t>
      </text>
    </comment>
    <comment ref="I12" authorId="17" shapeId="0" xr:uid="{1FC541FF-0B8B-4883-9724-81E5393BCD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Inventory days increase- although the numbers are very low, indicating fast turnover. More WIP and Land under development means more inventory held </t>
      </text>
    </comment>
    <comment ref="J13" authorId="18" shapeId="0" xr:uid="{2944F8C0-2DC4-4053-9D85-E56C1EFBBE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$180m of Committed bank facilities, none were drawn during 2024 and mature in 2027. (51.8m of bank overdrafts)
This is the TOTAL liability's </t>
      </text>
    </comment>
    <comment ref="J14" authorId="19" shapeId="0" xr:uid="{65ECC76C-0306-4A56-8849-8837B128A6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Operating Profit before tax &amp; interest
(profit before the impact of tax and interest) PROFITABILITY 
</t>
      </text>
    </comment>
    <comment ref="H16" authorId="20" shapeId="0" xr:uid="{6DA549BB-BD33-4173-967B-6A8E22B6C4E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Does the company have enough short term assets to cover short term debts
Liquidity has improved over time, now holding $1.22 in current assets for each $1 of current liability's
</t>
      </text>
    </comment>
    <comment ref="H17" authorId="21" shapeId="0" xr:uid="{BC9DE4C1-2835-4D43-9EF1-14478D7A8B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has dopped; </t>
      </text>
    </comment>
    <comment ref="J17" authorId="22" shapeId="0" xr:uid="{4C18184E-ADEB-4DF0-9AA8-93B43086FF1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Bank deposit interest
Interest received from joint ventures 
</t>
      </text>
    </comment>
    <comment ref="O17" authorId="23" shapeId="0" xr:uid="{CE22B01A-7D06-4C92-AD37-E2EE5471C21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company is net cash positive ( earning more interest than it pays )
</t>
      </text>
    </comment>
    <comment ref="H18" authorId="24" shapeId="0" xr:uid="{CDB64278-DAAA-48B0-A4B0-BBEB8584580E}">
      <text>
        <t>[Threaded comment]
Your version of Excel allows you to read this threaded comment; however, any edits to it will get removed if the file is opened in a newer version of Excel. Learn more: https://go.microsoft.com/fwlink/?linkid=870924
Comment:
    Immediate liability have increased</t>
      </text>
    </comment>
    <comment ref="I18" authorId="25" shapeId="0" xr:uid="{A449F04B-A4BD-4456-BB73-2AA6F626B6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I2024 looks more liquid on paper (total current assets are higher),
but when you strip out less liquid items (inventory, prepayments, receivables), the underlying cash liquidity has weakened.
</t>
      </text>
    </comment>
    <comment ref="J18" authorId="26" shapeId="0" xr:uid="{FEBE251C-FFBC-47C4-9E19-7CAE1D021A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Strong profits
Robust cash position
High-quality order book
Consistent capital allocation discipline </t>
      </text>
    </comment>
    <comment ref="O18" authorId="27" shapeId="0" xr:uid="{0ADE7912-9299-43AC-8690-27998E233B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Paid at Pence per share </t>
      </text>
    </comment>
    <comment ref="I22" authorId="28" shapeId="0" xr:uid="{2F39FA4B-01FB-49E4-93DF-EB69154D7F8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ratio looks at how much debt the company uses to finacice assets compared to equity.</t>
      </text>
    </comment>
    <comment ref="H23" authorId="29" shapeId="0" xr:uid="{55B0D66E-67B4-4F5E-87E9-E6640F4ED1B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2024 the company has the capacity to pay its interest 19.52 times over.
High interest earning capacity
Strong earnings
Low financial strain
</t>
      </text>
    </comment>
    <comment ref="I23" authorId="30" shapeId="0" xr:uid="{64DB5FB6-9206-431D-A175-27217A06BF4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company's ability to cover interest obligations </t>
      </text>
    </comment>
    <comment ref="H26" authorId="31" shapeId="0" xr:uid="{E4FB3645-510E-440F-BAD6-D93C2C6D78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a positive trend - the company is becoming more profitable per share.
</t>
      </text>
    </comment>
    <comment ref="I26" authorId="32" shapeId="0" xr:uid="{3762E598-BEF0-4616-AB0B-96BE35105554}">
      <text>
        <t>[Threaded comment]
Your version of Excel allows you to read this threaded comment; however, any edits to it will get removed if the file is opened in a newer version of Excel. Learn more: https://go.microsoft.com/fwlink/?linkid=870924
Comment:
    EPS measures net profit per share</t>
      </text>
    </comment>
    <comment ref="H27" authorId="33" shapeId="0" xr:uid="{89C4BB20-3502-4F4C-B156-D662533E7D4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positive trend (Healthy) the cash the company hands back to investors has grown</t>
      </text>
    </comment>
    <comment ref="I27" authorId="34" shapeId="0" xr:uid="{52AC65AE-096A-433D-9877-9447DAC816FE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Confident dividend policy</t>
      </text>
    </comment>
    <comment ref="H28" authorId="35" shapeId="0" xr:uid="{EBFE3F59-46DE-4630-990C-C37393E91D25}">
      <text>
        <t>[Threaded comment]
Your version of Excel allows you to read this threaded comment; however, any edits to it will get removed if the file is opened in a newer version of Excel. Learn more: https://go.microsoft.com/fwlink/?linkid=870924
Comment:
    Moderate yield - stable return to shareholders</t>
      </text>
    </comment>
    <comment ref="H29" authorId="36" shapeId="0" xr:uid="{EB37994D-EAD6-4D0D-BAE0-52EA615A02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Are investors willing to pay more for each pound of profit. </t>
      </text>
    </comment>
    <comment ref="I29" authorId="37" shapeId="0" xr:uid="{186EEF4E-D388-4EC8-B627-BAFBCA339E75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much investors are willing to pay per $1 of earnings</t>
      </text>
    </comment>
    <comment ref="H30" authorId="38" shapeId="0" xr:uid="{A63F3482-E1C8-42B0-AB52-C1FADDD8FBFD}">
      <text>
        <t>[Threaded comment]
Your version of Excel allows you to read this threaded comment; however, any edits to it will get removed if the file is opened in a newer version of Excel. Learn more: https://go.microsoft.com/fwlink/?linkid=870924
Comment:
    Positive trend
Shareholder equity per share is growing.</t>
      </text>
    </comment>
    <comment ref="I30" authorId="39" shapeId="0" xr:uid="{3A36E383-578D-461D-BD95-4027A5DFF2F7}">
      <text>
        <t>[Threaded comment]
Your version of Excel allows you to read this threaded comment; however, any edits to it will get removed if the file is opened in a newer version of Excel. Learn more: https://go.microsoft.com/fwlink/?linkid=870924
Comment:
    Book Value per share</t>
      </text>
    </comment>
    <comment ref="C44" authorId="40" shapeId="0" xr:uid="{CED21A8C-1DBD-492B-8B62-0E5D6E4E6C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Located in section - Trade and other receivable. </t>
      </text>
    </comment>
  </commentList>
</comments>
</file>

<file path=xl/sharedStrings.xml><?xml version="1.0" encoding="utf-8"?>
<sst xmlns="http://schemas.openxmlformats.org/spreadsheetml/2006/main" count="267" uniqueCount="180">
  <si>
    <t xml:space="preserve"> </t>
  </si>
  <si>
    <t>Profitability Ratios</t>
  </si>
  <si>
    <t>Gross Profit Margin</t>
  </si>
  <si>
    <t>Gross profit/sales</t>
  </si>
  <si>
    <t>Net Profit Margin</t>
  </si>
  <si>
    <t>Net profit after tax/sales</t>
  </si>
  <si>
    <t>Return on Assets</t>
  </si>
  <si>
    <t>Net profit after tax/total assets</t>
  </si>
  <si>
    <t>Efficiency (or Asset Management) Ratios</t>
  </si>
  <si>
    <t>Days of Inventory</t>
  </si>
  <si>
    <t>Inventory/av.daily cost of goods sold</t>
  </si>
  <si>
    <t>Total Asset Turnover Ratio</t>
  </si>
  <si>
    <t>Sales/total assets</t>
  </si>
  <si>
    <t>Liquidity Ratios</t>
  </si>
  <si>
    <t>Current Ratio</t>
  </si>
  <si>
    <t>Current assets/current liabilities</t>
  </si>
  <si>
    <t>Financial Structure Ratios</t>
  </si>
  <si>
    <t>Debt/Equity Ratio</t>
  </si>
  <si>
    <t>Debt/equity</t>
  </si>
  <si>
    <t>Equity Ratio</t>
  </si>
  <si>
    <t>Equity/total assets</t>
  </si>
  <si>
    <t>Times Interest Earned</t>
  </si>
  <si>
    <t>Earnings before interest &amp; tax/interest</t>
  </si>
  <si>
    <t>Market Ratios</t>
  </si>
  <si>
    <t>Earnings per Share (EPS)</t>
  </si>
  <si>
    <t>Dividends per Share (DPS)</t>
  </si>
  <si>
    <t>Dividends/number of issued ordinary shares</t>
  </si>
  <si>
    <t>Dividend Yield Ratio</t>
  </si>
  <si>
    <t>Dividends per share/market price per share</t>
  </si>
  <si>
    <t>Price Earnings Ratio</t>
  </si>
  <si>
    <t>Market price per share/earnings per share</t>
  </si>
  <si>
    <t>Net Asset Backing per Share Ratio</t>
  </si>
  <si>
    <t>Market/Book Ratio</t>
  </si>
  <si>
    <t>Market price per share/net asset backing per share</t>
  </si>
  <si>
    <t>Quick Ratio 1</t>
  </si>
  <si>
    <t>(Current assets - inventory - prepayments)/current liabilities</t>
  </si>
  <si>
    <t>Quick Ratio 2</t>
  </si>
  <si>
    <t>Documentation</t>
  </si>
  <si>
    <t>Working Area</t>
  </si>
  <si>
    <t>Notes Area</t>
  </si>
  <si>
    <t>RATIOS</t>
  </si>
  <si>
    <t>This is a place where you can copy and paste formulas, play with calculations and generally have fun whilst being able to see the data you are currently working on.</t>
  </si>
  <si>
    <t>Balance Sheets</t>
  </si>
  <si>
    <t>Income Statements</t>
  </si>
  <si>
    <t>Net profit after tax/nos of issued ordinary shares</t>
  </si>
  <si>
    <t>NPV</t>
  </si>
  <si>
    <t>IRR</t>
  </si>
  <si>
    <t>ALL FIGURES ARE EXPRESSED IN MILLIONS AUD</t>
  </si>
  <si>
    <t>Time period</t>
  </si>
  <si>
    <t>Cashflow</t>
  </si>
  <si>
    <t>Cumulative Cashflow</t>
  </si>
  <si>
    <t>Payback Period</t>
  </si>
  <si>
    <t>6 years</t>
  </si>
  <si>
    <t>days</t>
  </si>
  <si>
    <t>months</t>
  </si>
  <si>
    <t>years</t>
  </si>
  <si>
    <t>Investment is never paid back within 10 years</t>
  </si>
  <si>
    <t>EXAMPLE FOR WESFARMERS</t>
  </si>
  <si>
    <t>OPTION 1: BUNNINGS ROCKHAMPTON</t>
  </si>
  <si>
    <t>OPTION 2: BUNNINGS MACKAY</t>
  </si>
  <si>
    <t>Statements of Changes in Equity</t>
  </si>
  <si>
    <t>Please include your NPV, IRR and Payback period calculations in this worksheet</t>
  </si>
  <si>
    <t>(Current assets - inv - prepayments - receivables)/current liab's</t>
  </si>
  <si>
    <t>Net assets/number of shares issued</t>
  </si>
  <si>
    <t>Morgan Sindall Group</t>
  </si>
  <si>
    <t>Opening Balance</t>
  </si>
  <si>
    <t>Profit for the year</t>
  </si>
  <si>
    <t>Other comprehensive expense</t>
  </si>
  <si>
    <t>Total comprehensive (expense)/income</t>
  </si>
  <si>
    <t>Share-based payments</t>
  </si>
  <si>
    <t>Tax relating to share-based payments</t>
  </si>
  <si>
    <t>Issue of shares at a premium</t>
  </si>
  <si>
    <t>Exercise of share options</t>
  </si>
  <si>
    <t>Purchase of shares in the Company by the Trust</t>
  </si>
  <si>
    <t>Dividends paid</t>
  </si>
  <si>
    <t>As at years ended 31st December</t>
  </si>
  <si>
    <t>Assets</t>
  </si>
  <si>
    <t>Goodwill and other intangible assets</t>
  </si>
  <si>
    <t>Property, plant and equipment</t>
  </si>
  <si>
    <t>Investment property</t>
  </si>
  <si>
    <t>Investments in joint ventures</t>
  </si>
  <si>
    <t>Non-current assets</t>
  </si>
  <si>
    <t>Inventories</t>
  </si>
  <si>
    <t>Contract assets</t>
  </si>
  <si>
    <t>Trade and other receivables</t>
  </si>
  <si>
    <t>Current tax assets</t>
  </si>
  <si>
    <t>Shared equity loan receivables</t>
  </si>
  <si>
    <t>Cash and cash equivalents</t>
  </si>
  <si>
    <t>Current assets</t>
  </si>
  <si>
    <t>Total assets</t>
  </si>
  <si>
    <t>Liabilities</t>
  </si>
  <si>
    <t>Contract liabilities</t>
  </si>
  <si>
    <t>Trade and other payables</t>
  </si>
  <si>
    <t>Current tax liabilities</t>
  </si>
  <si>
    <t>Lease liabilities</t>
  </si>
  <si>
    <t>Borrowings</t>
  </si>
  <si>
    <t>Provisions</t>
  </si>
  <si>
    <t>Current liabilities</t>
  </si>
  <si>
    <t>Net current assets</t>
  </si>
  <si>
    <t>Retirement benefit obligation</t>
  </si>
  <si>
    <t>Deferred tax liabilities</t>
  </si>
  <si>
    <t>Non-current liabilities</t>
  </si>
  <si>
    <t>Total liabilities</t>
  </si>
  <si>
    <t>Net assets</t>
  </si>
  <si>
    <t>Equity</t>
  </si>
  <si>
    <t>Share capital</t>
  </si>
  <si>
    <t>Share premium account</t>
  </si>
  <si>
    <t>Other reserves</t>
  </si>
  <si>
    <t>Retained earnings</t>
  </si>
  <si>
    <t>Equity attributable to owners of the Company</t>
  </si>
  <si>
    <t>Total equity</t>
  </si>
  <si>
    <t>Revenue</t>
  </si>
  <si>
    <t>Cost of sales</t>
  </si>
  <si>
    <t>Gross profit</t>
  </si>
  <si>
    <t>Analysed as:</t>
  </si>
  <si>
    <t>Adjusted gross profit</t>
  </si>
  <si>
    <t>Exceptional building safety charge</t>
  </si>
  <si>
    <t>Administrative expenses</t>
  </si>
  <si>
    <t>Share of net profit of joint ventures</t>
  </si>
  <si>
    <t>Other operating income</t>
  </si>
  <si>
    <t>Operating profit</t>
  </si>
  <si>
    <t>Adjusted operating profit</t>
  </si>
  <si>
    <t>Amortisation of intangible assets</t>
  </si>
  <si>
    <t>Finance income</t>
  </si>
  <si>
    <t>Finance expense</t>
  </si>
  <si>
    <t>Profit before tax</t>
  </si>
  <si>
    <t>Adjusted profit before tax</t>
  </si>
  <si>
    <t>Tax</t>
  </si>
  <si>
    <t>Attributable to:</t>
  </si>
  <si>
    <t>Owners of the Company</t>
  </si>
  <si>
    <t>Earnings per share</t>
  </si>
  <si>
    <t>Basic</t>
  </si>
  <si>
    <t>Diluted</t>
  </si>
  <si>
    <t>212.4p</t>
  </si>
  <si>
    <t>204.4p</t>
  </si>
  <si>
    <t>132.7p</t>
  </si>
  <si>
    <t>130.4p</t>
  </si>
  <si>
    <t xml:space="preserve">Impairment loss on contract assets </t>
  </si>
  <si>
    <t>254.2p</t>
  </si>
  <si>
    <t>250.4p</t>
  </si>
  <si>
    <t>271.5p</t>
  </si>
  <si>
    <t>281.4p</t>
  </si>
  <si>
    <t>Total  Equity</t>
  </si>
  <si>
    <t>match to income statements below( Equity )</t>
  </si>
  <si>
    <t>As at 31st December</t>
  </si>
  <si>
    <t>Transactions with owners, total</t>
  </si>
  <si>
    <t>Consolidated Statement of Comprehensive Income</t>
  </si>
  <si>
    <t xml:space="preserve">Foreign exchange movement on translation of overseas operations </t>
  </si>
  <si>
    <t>Other comrehensive income(expence)</t>
  </si>
  <si>
    <t>Total comprehensive income</t>
  </si>
  <si>
    <t>Attributed to:</t>
  </si>
  <si>
    <t>$m</t>
  </si>
  <si>
    <t>Market Price per share</t>
  </si>
  <si>
    <t>WACC</t>
  </si>
  <si>
    <t>O</t>
  </si>
  <si>
    <t>F</t>
  </si>
  <si>
    <t>OF</t>
  </si>
  <si>
    <t>Gross Prfit</t>
  </si>
  <si>
    <t>Total Assets</t>
  </si>
  <si>
    <t>Inventory</t>
  </si>
  <si>
    <t>Current Assets</t>
  </si>
  <si>
    <t>Current Liabilities</t>
  </si>
  <si>
    <t>Prepayments</t>
  </si>
  <si>
    <t>Receivables</t>
  </si>
  <si>
    <t>Debt</t>
  </si>
  <si>
    <t>EBIT</t>
  </si>
  <si>
    <t>Interest</t>
  </si>
  <si>
    <t>Dividends</t>
  </si>
  <si>
    <t>Net Assets</t>
  </si>
  <si>
    <t xml:space="preserve">NET Profit </t>
  </si>
  <si>
    <t>Number of issued ordinary shares (M)</t>
  </si>
  <si>
    <t>Revenue/Sales</t>
  </si>
  <si>
    <t>Year</t>
  </si>
  <si>
    <t>ALL FIGURES ARE EXPRESSED IN MILLIONS UK</t>
  </si>
  <si>
    <t>2 years</t>
  </si>
  <si>
    <t xml:space="preserve">days </t>
  </si>
  <si>
    <t xml:space="preserve">months </t>
  </si>
  <si>
    <t>4 years</t>
  </si>
  <si>
    <t xml:space="preserve">Project 1: </t>
  </si>
  <si>
    <t xml:space="preserve">Project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</si>
</sst>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164" formatCode="#,##0;\(#,##0\);0"/>
    <numFmt numFmtId="165" formatCode="0.0%"/>
    <numFmt numFmtId="166" formatCode="#,##0.00;\(#,##0.00\);0.00"/>
    <numFmt numFmtId="167" formatCode="#,##0.0"/>
    <numFmt numFmtId="168" formatCode="#,##0.0;\(#,##0.0\);0.0"/>
    <numFmt numFmtId="169" formatCode="0.0"/>
    <numFmt numFmtId="170" formatCode="_-[$£-809]* #,##0.00_-;\-[$£-809]* #,##0.00_-;_-[$£-809]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10"/>
      <color indexed="48"/>
      <name val="Trebuchet MS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b/>
      <sz val="11"/>
      <name val="Trebuchet MS"/>
      <family val="2"/>
    </font>
    <font>
      <sz val="10"/>
      <name val="Arial"/>
    </font>
    <font>
      <u/>
      <sz val="10"/>
      <color theme="10"/>
      <name val="Arial"/>
      <family val="2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44"/>
      </patternFill>
    </fill>
    <fill>
      <patternFill patternType="solid">
        <fgColor indexed="9"/>
        <bgColor indexed="44"/>
      </patternFill>
    </fill>
    <fill>
      <patternFill patternType="mediumGray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4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91">
    <xf numFmtId="0" fontId="0" fillId="0" borderId="0" xfId="0"/>
    <xf numFmtId="0" fontId="2" fillId="2" borderId="0" xfId="1" applyFill="1"/>
    <xf numFmtId="0" fontId="2" fillId="2" borderId="0" xfId="1" applyFill="1" applyAlignment="1">
      <alignment horizontal="right"/>
    </xf>
    <xf numFmtId="1" fontId="5" fillId="2" borderId="0" xfId="1" applyNumberFormat="1" applyFont="1" applyFill="1" applyAlignment="1">
      <alignment horizontal="right"/>
    </xf>
    <xf numFmtId="1" fontId="6" fillId="2" borderId="1" xfId="1" applyNumberFormat="1" applyFont="1" applyFill="1" applyBorder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2" fillId="2" borderId="0" xfId="1" applyNumberFormat="1" applyFill="1" applyAlignment="1">
      <alignment horizontal="right"/>
    </xf>
    <xf numFmtId="0" fontId="2" fillId="0" borderId="0" xfId="1" applyAlignment="1">
      <alignment horizontal="right"/>
    </xf>
    <xf numFmtId="0" fontId="2" fillId="0" borderId="0" xfId="1"/>
    <xf numFmtId="0" fontId="2" fillId="3" borderId="0" xfId="1" applyFill="1"/>
    <xf numFmtId="0" fontId="2" fillId="0" borderId="2" xfId="1" applyBorder="1"/>
    <xf numFmtId="0" fontId="2" fillId="2" borderId="0" xfId="2" applyFill="1"/>
    <xf numFmtId="1" fontId="5" fillId="2" borderId="0" xfId="2" applyNumberFormat="1" applyFont="1" applyFill="1" applyAlignment="1">
      <alignment horizontal="right"/>
    </xf>
    <xf numFmtId="0" fontId="8" fillId="4" borderId="3" xfId="2" applyFont="1" applyFill="1" applyBorder="1"/>
    <xf numFmtId="3" fontId="2" fillId="4" borderId="3" xfId="2" applyNumberFormat="1" applyFill="1" applyBorder="1" applyAlignment="1">
      <alignment horizontal="right"/>
    </xf>
    <xf numFmtId="0" fontId="2" fillId="3" borderId="0" xfId="2" applyFill="1"/>
    <xf numFmtId="164" fontId="2" fillId="3" borderId="0" xfId="2" applyNumberFormat="1" applyFill="1"/>
    <xf numFmtId="0" fontId="1" fillId="2" borderId="0" xfId="3" applyFont="1" applyFill="1" applyBorder="1"/>
    <xf numFmtId="0" fontId="2" fillId="0" borderId="2" xfId="2" applyBorder="1"/>
    <xf numFmtId="0" fontId="2" fillId="0" borderId="0" xfId="2"/>
    <xf numFmtId="2" fontId="2" fillId="0" borderId="0" xfId="2" applyNumberFormat="1"/>
    <xf numFmtId="0" fontId="1" fillId="0" borderId="2" xfId="3" applyFont="1" applyBorder="1"/>
    <xf numFmtId="0" fontId="1" fillId="0" borderId="0" xfId="3" applyFont="1" applyBorder="1"/>
    <xf numFmtId="0" fontId="1" fillId="0" borderId="0" xfId="3" applyFont="1" applyFill="1" applyBorder="1"/>
    <xf numFmtId="0" fontId="10" fillId="0" borderId="0" xfId="0" applyFont="1"/>
    <xf numFmtId="10" fontId="2" fillId="2" borderId="0" xfId="4" applyNumberFormat="1" applyFont="1" applyFill="1"/>
    <xf numFmtId="10" fontId="2" fillId="2" borderId="0" xfId="4" applyNumberFormat="1" applyFont="1" applyFill="1" applyAlignment="1">
      <alignment horizontal="right"/>
    </xf>
    <xf numFmtId="10" fontId="2" fillId="4" borderId="3" xfId="4" applyNumberFormat="1" applyFont="1" applyFill="1" applyBorder="1" applyAlignment="1">
      <alignment horizontal="right"/>
    </xf>
    <xf numFmtId="10" fontId="2" fillId="2" borderId="0" xfId="4" applyNumberFormat="1" applyFont="1" applyFill="1" applyBorder="1" applyAlignment="1">
      <alignment horizontal="right"/>
    </xf>
    <xf numFmtId="10" fontId="2" fillId="4" borderId="0" xfId="4" applyNumberFormat="1" applyFont="1" applyFill="1" applyBorder="1" applyAlignment="1">
      <alignment horizontal="right"/>
    </xf>
    <xf numFmtId="10" fontId="1" fillId="2" borderId="0" xfId="4" applyNumberFormat="1" applyFont="1" applyFill="1" applyBorder="1"/>
    <xf numFmtId="10" fontId="1" fillId="2" borderId="0" xfId="4" applyNumberFormat="1" applyFont="1" applyFill="1" applyBorder="1" applyAlignment="1">
      <alignment horizontal="right"/>
    </xf>
    <xf numFmtId="10" fontId="2" fillId="0" borderId="0" xfId="4" applyNumberFormat="1" applyFont="1" applyBorder="1"/>
    <xf numFmtId="10" fontId="2" fillId="0" borderId="0" xfId="4" applyNumberFormat="1" applyFont="1"/>
    <xf numFmtId="10" fontId="1" fillId="0" borderId="0" xfId="4" applyNumberFormat="1" applyFont="1" applyBorder="1"/>
    <xf numFmtId="10" fontId="1" fillId="0" borderId="0" xfId="4" applyNumberFormat="1" applyFont="1" applyBorder="1" applyAlignment="1">
      <alignment horizontal="right"/>
    </xf>
    <xf numFmtId="10" fontId="0" fillId="0" borderId="0" xfId="4" applyNumberFormat="1" applyFont="1"/>
    <xf numFmtId="166" fontId="2" fillId="3" borderId="0" xfId="4" applyNumberFormat="1" applyFont="1" applyFill="1" applyBorder="1" applyAlignment="1">
      <alignment horizontal="right"/>
    </xf>
    <xf numFmtId="165" fontId="2" fillId="2" borderId="0" xfId="4" applyNumberFormat="1" applyFont="1" applyFill="1" applyBorder="1" applyAlignment="1">
      <alignment horizontal="right"/>
    </xf>
    <xf numFmtId="166" fontId="2" fillId="2" borderId="0" xfId="4" applyNumberFormat="1" applyFont="1" applyFill="1" applyBorder="1" applyAlignment="1">
      <alignment horizontal="right"/>
    </xf>
    <xf numFmtId="1" fontId="5" fillId="2" borderId="3" xfId="4" applyNumberFormat="1" applyFont="1" applyFill="1" applyBorder="1" applyAlignment="1">
      <alignment horizontal="right"/>
    </xf>
    <xf numFmtId="0" fontId="14" fillId="0" borderId="0" xfId="0" applyFont="1" applyAlignment="1">
      <alignment vertical="center" wrapText="1"/>
    </xf>
    <xf numFmtId="0" fontId="7" fillId="0" borderId="0" xfId="0" applyFont="1"/>
    <xf numFmtId="0" fontId="13" fillId="0" borderId="0" xfId="0" applyFont="1" applyAlignment="1">
      <alignment vertical="center" wrapText="1"/>
    </xf>
    <xf numFmtId="8" fontId="7" fillId="0" borderId="0" xfId="0" applyNumberFormat="1" applyFont="1"/>
    <xf numFmtId="165" fontId="7" fillId="0" borderId="0" xfId="0" applyNumberFormat="1" applyFont="1"/>
    <xf numFmtId="164" fontId="2" fillId="3" borderId="0" xfId="1" applyNumberFormat="1" applyFill="1" applyAlignment="1">
      <alignment horizontal="right"/>
    </xf>
    <xf numFmtId="0" fontId="2" fillId="7" borderId="0" xfId="1" applyFill="1"/>
    <xf numFmtId="0" fontId="2" fillId="2" borderId="0" xfId="1" applyFill="1" applyAlignment="1">
      <alignment horizontal="left"/>
    </xf>
    <xf numFmtId="0" fontId="2" fillId="3" borderId="0" xfId="1" applyFill="1" applyAlignment="1">
      <alignment horizontal="left"/>
    </xf>
    <xf numFmtId="0" fontId="2" fillId="7" borderId="0" xfId="1" applyFill="1" applyAlignment="1">
      <alignment horizontal="left"/>
    </xf>
    <xf numFmtId="164" fontId="2" fillId="2" borderId="0" xfId="2" applyNumberFormat="1" applyFill="1"/>
    <xf numFmtId="0" fontId="2" fillId="4" borderId="0" xfId="2" applyFill="1"/>
    <xf numFmtId="164" fontId="2" fillId="4" borderId="0" xfId="2" applyNumberFormat="1" applyFill="1"/>
    <xf numFmtId="0" fontId="2" fillId="8" borderId="0" xfId="2" applyFill="1"/>
    <xf numFmtId="0" fontId="1" fillId="0" borderId="0" xfId="0" applyFont="1"/>
    <xf numFmtId="2" fontId="2" fillId="3" borderId="0" xfId="4" applyNumberFormat="1" applyFont="1" applyFill="1" applyBorder="1" applyAlignment="1">
      <alignment horizontal="right"/>
    </xf>
    <xf numFmtId="2" fontId="2" fillId="2" borderId="0" xfId="4" applyNumberFormat="1" applyFont="1" applyFill="1" applyBorder="1" applyAlignment="1">
      <alignment horizontal="right"/>
    </xf>
    <xf numFmtId="169" fontId="2" fillId="2" borderId="0" xfId="4" applyNumberFormat="1" applyFont="1" applyFill="1" applyBorder="1" applyAlignment="1">
      <alignment horizontal="right"/>
    </xf>
    <xf numFmtId="0" fontId="16" fillId="3" borderId="0" xfId="1" applyFont="1" applyFill="1" applyAlignment="1">
      <alignment horizontal="left"/>
    </xf>
    <xf numFmtId="0" fontId="16" fillId="3" borderId="0" xfId="1" applyFont="1" applyFill="1"/>
    <xf numFmtId="170" fontId="16" fillId="9" borderId="0" xfId="1" applyNumberFormat="1" applyFont="1" applyFill="1" applyAlignment="1">
      <alignment horizontal="right"/>
    </xf>
    <xf numFmtId="0" fontId="16" fillId="3" borderId="7" xfId="1" applyFont="1" applyFill="1" applyBorder="1" applyAlignment="1">
      <alignment horizontal="left"/>
    </xf>
    <xf numFmtId="0" fontId="16" fillId="3" borderId="7" xfId="1" applyFont="1" applyFill="1" applyBorder="1"/>
    <xf numFmtId="164" fontId="16" fillId="3" borderId="7" xfId="1" applyNumberFormat="1" applyFont="1" applyFill="1" applyBorder="1" applyAlignment="1">
      <alignment horizontal="right"/>
    </xf>
    <xf numFmtId="168" fontId="18" fillId="2" borderId="0" xfId="1" applyNumberFormat="1" applyFont="1" applyFill="1" applyAlignment="1">
      <alignment horizontal="left"/>
    </xf>
    <xf numFmtId="168" fontId="15" fillId="2" borderId="0" xfId="1" applyNumberFormat="1" applyFont="1" applyFill="1"/>
    <xf numFmtId="168" fontId="15" fillId="2" borderId="0" xfId="1" applyNumberFormat="1" applyFont="1" applyFill="1" applyAlignment="1">
      <alignment horizontal="right"/>
    </xf>
    <xf numFmtId="168" fontId="2" fillId="2" borderId="0" xfId="1" applyNumberFormat="1" applyFill="1"/>
    <xf numFmtId="164" fontId="18" fillId="3" borderId="0" xfId="1" applyNumberFormat="1" applyFont="1" applyFill="1" applyAlignment="1">
      <alignment horizontal="left"/>
    </xf>
    <xf numFmtId="164" fontId="2" fillId="7" borderId="7" xfId="1" applyNumberFormat="1" applyFill="1" applyBorder="1" applyAlignment="1">
      <alignment horizontal="right"/>
    </xf>
    <xf numFmtId="164" fontId="2" fillId="7" borderId="0" xfId="1" applyNumberFormat="1" applyFill="1" applyAlignment="1">
      <alignment horizontal="right"/>
    </xf>
    <xf numFmtId="164" fontId="15" fillId="3" borderId="0" xfId="1" applyNumberFormat="1" applyFont="1" applyFill="1" applyAlignment="1">
      <alignment horizontal="left"/>
    </xf>
    <xf numFmtId="164" fontId="15" fillId="3" borderId="0" xfId="1" applyNumberFormat="1" applyFont="1" applyFill="1"/>
    <xf numFmtId="164" fontId="15" fillId="3" borderId="0" xfId="1" applyNumberFormat="1" applyFont="1" applyFill="1" applyAlignment="1">
      <alignment horizontal="right"/>
    </xf>
    <xf numFmtId="164" fontId="15" fillId="2" borderId="0" xfId="1" applyNumberFormat="1" applyFont="1" applyFill="1" applyAlignment="1">
      <alignment horizontal="left"/>
    </xf>
    <xf numFmtId="164" fontId="15" fillId="2" borderId="0" xfId="1" applyNumberFormat="1" applyFont="1" applyFill="1"/>
    <xf numFmtId="164" fontId="15" fillId="2" borderId="0" xfId="1" applyNumberFormat="1" applyFont="1" applyFill="1" applyAlignment="1">
      <alignment horizontal="right"/>
    </xf>
    <xf numFmtId="164" fontId="15" fillId="3" borderId="3" xfId="1" applyNumberFormat="1" applyFont="1" applyFill="1" applyBorder="1" applyAlignment="1">
      <alignment horizontal="right"/>
    </xf>
    <xf numFmtId="164" fontId="18" fillId="2" borderId="0" xfId="1" applyNumberFormat="1" applyFont="1" applyFill="1" applyAlignment="1">
      <alignment horizontal="left"/>
    </xf>
    <xf numFmtId="164" fontId="15" fillId="2" borderId="3" xfId="1" applyNumberFormat="1" applyFont="1" applyFill="1" applyBorder="1" applyAlignment="1">
      <alignment horizontal="right"/>
    </xf>
    <xf numFmtId="164" fontId="15" fillId="2" borderId="7" xfId="1" applyNumberFormat="1" applyFont="1" applyFill="1" applyBorder="1" applyAlignment="1">
      <alignment horizontal="right"/>
    </xf>
    <xf numFmtId="164" fontId="2" fillId="2" borderId="0" xfId="1" applyNumberFormat="1" applyFill="1"/>
    <xf numFmtId="164" fontId="5" fillId="2" borderId="0" xfId="1" applyNumberFormat="1" applyFont="1" applyFill="1" applyAlignment="1">
      <alignment horizontal="right"/>
    </xf>
    <xf numFmtId="164" fontId="16" fillId="2" borderId="0" xfId="1" applyNumberFormat="1" applyFont="1" applyFill="1"/>
    <xf numFmtId="164" fontId="6" fillId="2" borderId="1" xfId="1" applyNumberFormat="1" applyFont="1" applyFill="1" applyBorder="1" applyAlignment="1">
      <alignment horizontal="right"/>
    </xf>
    <xf numFmtId="0" fontId="2" fillId="0" borderId="0" xfId="1" applyAlignment="1">
      <alignment horizontal="left"/>
    </xf>
    <xf numFmtId="164" fontId="2" fillId="0" borderId="0" xfId="1" applyNumberFormat="1" applyAlignment="1">
      <alignment horizontal="right"/>
    </xf>
    <xf numFmtId="0" fontId="2" fillId="9" borderId="0" xfId="1" applyFill="1"/>
    <xf numFmtId="0" fontId="17" fillId="0" borderId="0" xfId="1" applyFont="1" applyAlignment="1">
      <alignment horizontal="left"/>
    </xf>
    <xf numFmtId="0" fontId="17" fillId="0" borderId="7" xfId="1" applyFont="1" applyBorder="1"/>
    <xf numFmtId="164" fontId="2" fillId="0" borderId="7" xfId="1" applyNumberFormat="1" applyBorder="1" applyAlignment="1">
      <alignment horizontal="right"/>
    </xf>
    <xf numFmtId="164" fontId="15" fillId="3" borderId="7" xfId="1" applyNumberFormat="1" applyFont="1" applyFill="1" applyBorder="1" applyAlignment="1">
      <alignment horizontal="right"/>
    </xf>
    <xf numFmtId="164" fontId="18" fillId="0" borderId="0" xfId="1" applyNumberFormat="1" applyFont="1" applyAlignment="1">
      <alignment horizontal="left"/>
    </xf>
    <xf numFmtId="164" fontId="15" fillId="0" borderId="0" xfId="1" applyNumberFormat="1" applyFont="1"/>
    <xf numFmtId="164" fontId="15" fillId="0" borderId="0" xfId="1" applyNumberFormat="1" applyFont="1" applyAlignment="1">
      <alignment horizontal="right"/>
    </xf>
    <xf numFmtId="164" fontId="15" fillId="0" borderId="7" xfId="1" applyNumberFormat="1" applyFont="1" applyBorder="1" applyAlignment="1">
      <alignment horizontal="right"/>
    </xf>
    <xf numFmtId="168" fontId="15" fillId="0" borderId="0" xfId="1" applyNumberFormat="1" applyFont="1" applyAlignment="1">
      <alignment horizontal="left"/>
    </xf>
    <xf numFmtId="168" fontId="15" fillId="0" borderId="0" xfId="1" applyNumberFormat="1" applyFont="1"/>
    <xf numFmtId="168" fontId="18" fillId="0" borderId="0" xfId="1" applyNumberFormat="1" applyFont="1" applyAlignment="1">
      <alignment horizontal="left"/>
    </xf>
    <xf numFmtId="164" fontId="0" fillId="0" borderId="7" xfId="0" applyNumberFormat="1" applyBorder="1"/>
    <xf numFmtId="164" fontId="15" fillId="2" borderId="7" xfId="1" applyNumberFormat="1" applyFont="1" applyFill="1" applyBorder="1"/>
    <xf numFmtId="168" fontId="18" fillId="0" borderId="7" xfId="1" applyNumberFormat="1" applyFont="1" applyBorder="1" applyAlignment="1">
      <alignment horizontal="left"/>
    </xf>
    <xf numFmtId="168" fontId="15" fillId="0" borderId="7" xfId="1" applyNumberFormat="1" applyFont="1" applyBorder="1"/>
    <xf numFmtId="44" fontId="6" fillId="2" borderId="1" xfId="6" applyFont="1" applyFill="1" applyBorder="1" applyAlignment="1">
      <alignment horizontal="right"/>
    </xf>
    <xf numFmtId="2" fontId="0" fillId="0" borderId="0" xfId="4" applyNumberFormat="1" applyFont="1" applyBorder="1"/>
    <xf numFmtId="10" fontId="0" fillId="0" borderId="8" xfId="4" applyNumberFormat="1" applyFont="1" applyBorder="1"/>
    <xf numFmtId="1" fontId="5" fillId="2" borderId="10" xfId="1" applyNumberFormat="1" applyFont="1" applyFill="1" applyBorder="1" applyAlignment="1">
      <alignment horizontal="right"/>
    </xf>
    <xf numFmtId="1" fontId="5" fillId="2" borderId="11" xfId="1" applyNumberFormat="1" applyFont="1" applyFill="1" applyBorder="1" applyAlignment="1">
      <alignment horizontal="right"/>
    </xf>
    <xf numFmtId="1" fontId="5" fillId="2" borderId="12" xfId="1" applyNumberFormat="1" applyFont="1" applyFill="1" applyBorder="1" applyAlignment="1">
      <alignment horizontal="right"/>
    </xf>
    <xf numFmtId="0" fontId="0" fillId="0" borderId="0" xfId="4" applyNumberFormat="1" applyFont="1" applyBorder="1"/>
    <xf numFmtId="9" fontId="2" fillId="3" borderId="0" xfId="4" applyFont="1" applyFill="1" applyBorder="1"/>
    <xf numFmtId="0" fontId="8" fillId="4" borderId="0" xfId="2" applyFont="1" applyFill="1"/>
    <xf numFmtId="0" fontId="2" fillId="3" borderId="9" xfId="2" applyFill="1" applyBorder="1"/>
    <xf numFmtId="3" fontId="2" fillId="4" borderId="0" xfId="2" applyNumberFormat="1" applyFill="1" applyAlignment="1">
      <alignment horizontal="right"/>
    </xf>
    <xf numFmtId="164" fontId="2" fillId="3" borderId="9" xfId="2" applyNumberFormat="1" applyFill="1" applyBorder="1"/>
    <xf numFmtId="168" fontId="2" fillId="0" borderId="0" xfId="1" applyNumberFormat="1"/>
    <xf numFmtId="168" fontId="16" fillId="10" borderId="13" xfId="1" applyNumberFormat="1" applyFont="1" applyFill="1" applyBorder="1" applyAlignment="1">
      <alignment horizontal="center"/>
    </xf>
    <xf numFmtId="0" fontId="16" fillId="0" borderId="13" xfId="1" applyFont="1" applyBorder="1" applyAlignment="1">
      <alignment horizontal="center"/>
    </xf>
    <xf numFmtId="168" fontId="16" fillId="0" borderId="13" xfId="1" applyNumberFormat="1" applyFont="1" applyBorder="1" applyAlignment="1">
      <alignment horizontal="center"/>
    </xf>
    <xf numFmtId="168" fontId="16" fillId="10" borderId="13" xfId="1" applyNumberFormat="1" applyFont="1" applyFill="1" applyBorder="1"/>
    <xf numFmtId="0" fontId="7" fillId="0" borderId="13" xfId="0" applyFont="1" applyBorder="1" applyAlignment="1">
      <alignment horizontal="center"/>
    </xf>
    <xf numFmtId="168" fontId="16" fillId="11" borderId="13" xfId="1" applyNumberFormat="1" applyFont="1" applyFill="1" applyBorder="1" applyAlignment="1">
      <alignment horizontal="center"/>
    </xf>
    <xf numFmtId="164" fontId="15" fillId="12" borderId="0" xfId="1" applyNumberFormat="1" applyFont="1" applyFill="1" applyAlignment="1">
      <alignment horizontal="left"/>
    </xf>
    <xf numFmtId="164" fontId="15" fillId="12" borderId="0" xfId="1" applyNumberFormat="1" applyFont="1" applyFill="1"/>
    <xf numFmtId="164" fontId="15" fillId="12" borderId="0" xfId="1" applyNumberFormat="1" applyFont="1" applyFill="1" applyAlignment="1">
      <alignment horizontal="right"/>
    </xf>
    <xf numFmtId="0" fontId="0" fillId="11" borderId="0" xfId="0" applyFill="1"/>
    <xf numFmtId="164" fontId="15" fillId="11" borderId="0" xfId="1" applyNumberFormat="1" applyFont="1" applyFill="1" applyAlignment="1">
      <alignment horizontal="left"/>
    </xf>
    <xf numFmtId="164" fontId="15" fillId="11" borderId="0" xfId="1" applyNumberFormat="1" applyFont="1" applyFill="1"/>
    <xf numFmtId="164" fontId="15" fillId="11" borderId="0" xfId="1" applyNumberFormat="1" applyFont="1" applyFill="1" applyAlignment="1">
      <alignment horizontal="right"/>
    </xf>
    <xf numFmtId="0" fontId="20" fillId="0" borderId="0" xfId="7"/>
    <xf numFmtId="170" fontId="2" fillId="0" borderId="0" xfId="4" applyNumberFormat="1" applyFont="1" applyBorder="1"/>
    <xf numFmtId="9" fontId="2" fillId="3" borderId="0" xfId="4" applyFont="1" applyFill="1" applyBorder="1" applyAlignment="1">
      <alignment horizontal="right"/>
    </xf>
    <xf numFmtId="0" fontId="2" fillId="0" borderId="2" xfId="2" applyBorder="1" applyAlignment="1">
      <alignment vertical="top" wrapText="1"/>
    </xf>
    <xf numFmtId="168" fontId="16" fillId="13" borderId="13" xfId="1" applyNumberFormat="1" applyFont="1" applyFill="1" applyBorder="1" applyAlignment="1">
      <alignment horizontal="center"/>
    </xf>
    <xf numFmtId="164" fontId="15" fillId="0" borderId="0" xfId="1" applyNumberFormat="1" applyFont="1" applyAlignment="1">
      <alignment horizontal="left"/>
    </xf>
    <xf numFmtId="0" fontId="2" fillId="2" borderId="13" xfId="2" applyFill="1" applyBorder="1" applyAlignment="1">
      <alignment vertical="top" wrapText="1"/>
    </xf>
    <xf numFmtId="0" fontId="2" fillId="0" borderId="13" xfId="2" applyBorder="1"/>
    <xf numFmtId="164" fontId="2" fillId="0" borderId="0" xfId="2" applyNumberFormat="1"/>
    <xf numFmtId="10" fontId="2" fillId="0" borderId="13" xfId="4" applyNumberFormat="1" applyFont="1" applyBorder="1"/>
    <xf numFmtId="0" fontId="0" fillId="0" borderId="13" xfId="0" applyBorder="1"/>
    <xf numFmtId="164" fontId="15" fillId="2" borderId="13" xfId="1" applyNumberFormat="1" applyFont="1" applyFill="1" applyBorder="1" applyAlignment="1">
      <alignment horizontal="left"/>
    </xf>
    <xf numFmtId="164" fontId="15" fillId="2" borderId="13" xfId="1" applyNumberFormat="1" applyFont="1" applyFill="1" applyBorder="1" applyAlignment="1">
      <alignment horizontal="right"/>
    </xf>
    <xf numFmtId="2" fontId="3" fillId="0" borderId="2" xfId="2" applyNumberFormat="1" applyFont="1" applyBorder="1"/>
    <xf numFmtId="170" fontId="21" fillId="0" borderId="0" xfId="0" applyNumberFormat="1" applyFont="1"/>
    <xf numFmtId="2" fontId="2" fillId="0" borderId="13" xfId="4" applyNumberFormat="1" applyFont="1" applyBorder="1"/>
    <xf numFmtId="9" fontId="0" fillId="0" borderId="0" xfId="0" applyNumberFormat="1"/>
    <xf numFmtId="170" fontId="0" fillId="0" borderId="0" xfId="0" applyNumberFormat="1"/>
    <xf numFmtId="2" fontId="0" fillId="0" borderId="0" xfId="0" applyNumberFormat="1"/>
    <xf numFmtId="164" fontId="15" fillId="14" borderId="0" xfId="1" applyNumberFormat="1" applyFont="1" applyFill="1" applyAlignment="1">
      <alignment horizontal="right"/>
    </xf>
    <xf numFmtId="167" fontId="2" fillId="0" borderId="0" xfId="4" applyNumberFormat="1" applyFont="1" applyFill="1" applyBorder="1" applyAlignment="1">
      <alignment horizontal="right"/>
    </xf>
    <xf numFmtId="2" fontId="2" fillId="0" borderId="0" xfId="4" applyNumberFormat="1" applyFont="1" applyFill="1" applyBorder="1" applyAlignment="1">
      <alignment horizontal="right"/>
    </xf>
    <xf numFmtId="168" fontId="2" fillId="0" borderId="0" xfId="4" applyNumberFormat="1" applyFont="1" applyFill="1" applyBorder="1" applyAlignment="1">
      <alignment horizontal="right"/>
    </xf>
    <xf numFmtId="8" fontId="0" fillId="0" borderId="0" xfId="0" applyNumberFormat="1"/>
    <xf numFmtId="2" fontId="3" fillId="5" borderId="2" xfId="1" applyNumberFormat="1" applyFont="1" applyFill="1" applyBorder="1"/>
    <xf numFmtId="0" fontId="2" fillId="0" borderId="0" xfId="1"/>
    <xf numFmtId="168" fontId="2" fillId="0" borderId="2" xfId="1" applyNumberFormat="1" applyBorder="1" applyAlignment="1">
      <alignment wrapText="1"/>
    </xf>
    <xf numFmtId="168" fontId="2" fillId="0" borderId="0" xfId="1" applyNumberFormat="1" applyAlignment="1">
      <alignment wrapText="1"/>
    </xf>
    <xf numFmtId="0" fontId="2" fillId="0" borderId="2" xfId="1" applyBorder="1" applyAlignment="1">
      <alignment vertical="top" wrapText="1"/>
    </xf>
    <xf numFmtId="0" fontId="2" fillId="0" borderId="2" xfId="1" applyBorder="1"/>
    <xf numFmtId="168" fontId="3" fillId="5" borderId="2" xfId="1" applyNumberFormat="1" applyFont="1" applyFill="1" applyBorder="1"/>
    <xf numFmtId="168" fontId="3" fillId="5" borderId="0" xfId="1" applyNumberFormat="1" applyFont="1" applyFill="1"/>
    <xf numFmtId="168" fontId="2" fillId="0" borderId="0" xfId="1" applyNumberFormat="1"/>
    <xf numFmtId="0" fontId="2" fillId="2" borderId="2" xfId="1" applyFill="1" applyBorder="1" applyAlignment="1">
      <alignment vertical="top" wrapText="1"/>
    </xf>
    <xf numFmtId="0" fontId="2" fillId="0" borderId="0" xfId="1" applyAlignment="1">
      <alignment wrapText="1"/>
    </xf>
    <xf numFmtId="0" fontId="2" fillId="0" borderId="2" xfId="1" applyBorder="1" applyAlignment="1">
      <alignment wrapText="1"/>
    </xf>
    <xf numFmtId="0" fontId="3" fillId="6" borderId="5" xfId="1" applyFont="1" applyFill="1" applyBorder="1"/>
    <xf numFmtId="0" fontId="2" fillId="0" borderId="5" xfId="1" applyBorder="1"/>
    <xf numFmtId="0" fontId="3" fillId="6" borderId="0" xfId="1" applyFont="1" applyFill="1"/>
    <xf numFmtId="0" fontId="4" fillId="6" borderId="6" xfId="1" applyFont="1" applyFill="1" applyBorder="1"/>
    <xf numFmtId="0" fontId="2" fillId="0" borderId="6" xfId="1" applyBorder="1"/>
    <xf numFmtId="164" fontId="4" fillId="6" borderId="6" xfId="1" applyNumberFormat="1" applyFont="1" applyFill="1" applyBorder="1"/>
    <xf numFmtId="164" fontId="2" fillId="0" borderId="6" xfId="1" applyNumberFormat="1" applyBorder="1"/>
    <xf numFmtId="164" fontId="3" fillId="6" borderId="5" xfId="1" applyNumberFormat="1" applyFont="1" applyFill="1" applyBorder="1"/>
    <xf numFmtId="164" fontId="2" fillId="0" borderId="5" xfId="1" applyNumberFormat="1" applyBorder="1"/>
    <xf numFmtId="164" fontId="3" fillId="6" borderId="0" xfId="1" applyNumberFormat="1" applyFont="1" applyFill="1"/>
    <xf numFmtId="164" fontId="2" fillId="0" borderId="0" xfId="1" applyNumberFormat="1"/>
    <xf numFmtId="2" fontId="3" fillId="5" borderId="2" xfId="2" applyNumberFormat="1" applyFont="1" applyFill="1" applyBorder="1" applyAlignment="1">
      <alignment wrapText="1"/>
    </xf>
    <xf numFmtId="0" fontId="2" fillId="0" borderId="0" xfId="2" applyAlignment="1">
      <alignment wrapText="1"/>
    </xf>
    <xf numFmtId="0" fontId="2" fillId="0" borderId="4" xfId="2" applyBorder="1" applyAlignment="1">
      <alignment wrapText="1"/>
    </xf>
    <xf numFmtId="0" fontId="2" fillId="0" borderId="2" xfId="2" applyBorder="1" applyAlignment="1">
      <alignment wrapText="1"/>
    </xf>
    <xf numFmtId="170" fontId="3" fillId="5" borderId="2" xfId="2" applyNumberFormat="1" applyFont="1" applyFill="1" applyBorder="1"/>
    <xf numFmtId="170" fontId="2" fillId="0" borderId="0" xfId="2" applyNumberFormat="1"/>
    <xf numFmtId="0" fontId="3" fillId="6" borderId="5" xfId="2" applyFont="1" applyFill="1" applyBorder="1"/>
    <xf numFmtId="0" fontId="5" fillId="6" borderId="5" xfId="2" applyFont="1" applyFill="1" applyBorder="1"/>
    <xf numFmtId="0" fontId="3" fillId="6" borderId="0" xfId="2" applyFont="1" applyFill="1"/>
    <xf numFmtId="0" fontId="5" fillId="6" borderId="0" xfId="2" applyFont="1" applyFill="1"/>
    <xf numFmtId="0" fontId="4" fillId="6" borderId="6" xfId="2" applyFont="1" applyFill="1" applyBorder="1"/>
    <xf numFmtId="0" fontId="5" fillId="6" borderId="6" xfId="2" applyFont="1" applyFill="1" applyBorder="1"/>
    <xf numFmtId="0" fontId="14" fillId="0" borderId="0" xfId="0" applyFont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</cellXfs>
  <cellStyles count="8">
    <cellStyle name="Currency" xfId="6" builtinId="4"/>
    <cellStyle name="Hyperlink" xfId="7" builtinId="8"/>
    <cellStyle name="Normal" xfId="0" builtinId="0"/>
    <cellStyle name="Normal_Sheet1" xfId="1" xr:uid="{00000000-0005-0000-0000-000001000000}"/>
    <cellStyle name="Normal_Sheet4" xfId="2" xr:uid="{00000000-0005-0000-0000-000003000000}"/>
    <cellStyle name="Normal_Sophia van Zijl VAL-PPL" xfId="3" xr:uid="{00000000-0005-0000-0000-000005000000}"/>
    <cellStyle name="Percent" xfId="4" builtinId="5"/>
    <cellStyle name="Style 1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326DA6"/>
      <rgbColor rgb="00E1F0FF"/>
      <rgbColor rgb="00CCFFCC"/>
      <rgbColor rgb="00FFFF99"/>
      <rgbColor rgb="00B3D9FF"/>
      <rgbColor rgb="00E0EFF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14654</xdr:colOff>
      <xdr:row>40</xdr:row>
      <xdr:rowOff>113567</xdr:rowOff>
    </xdr:from>
    <xdr:to>
      <xdr:col>16</xdr:col>
      <xdr:colOff>265894</xdr:colOff>
      <xdr:row>52</xdr:row>
      <xdr:rowOff>144408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B0E65-DC00-3D7C-18A9-399FCADD3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1154" y="7008202"/>
          <a:ext cx="5325134" cy="2240054"/>
        </a:xfrm>
        <a:prstGeom prst="rect">
          <a:avLst/>
        </a:prstGeom>
      </xdr:spPr>
    </xdr:pic>
    <xdr:clientData/>
  </xdr:twoCellAnchor>
  <xdr:twoCellAnchor editAs="oneCell">
    <xdr:from>
      <xdr:col>9</xdr:col>
      <xdr:colOff>11517</xdr:colOff>
      <xdr:row>53</xdr:row>
      <xdr:rowOff>55015</xdr:rowOff>
    </xdr:from>
    <xdr:to>
      <xdr:col>17</xdr:col>
      <xdr:colOff>60739</xdr:colOff>
      <xdr:row>65</xdr:row>
      <xdr:rowOff>153867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21891-42BE-22F1-FB08-37B976F5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8017" y="9352880"/>
          <a:ext cx="5732936" cy="2296928"/>
        </a:xfrm>
        <a:prstGeom prst="rect">
          <a:avLst/>
        </a:prstGeom>
      </xdr:spPr>
    </xdr:pic>
    <xdr:clientData/>
  </xdr:twoCellAnchor>
  <xdr:twoCellAnchor editAs="oneCell">
    <xdr:from>
      <xdr:col>19</xdr:col>
      <xdr:colOff>274759</xdr:colOff>
      <xdr:row>56</xdr:row>
      <xdr:rowOff>174015</xdr:rowOff>
    </xdr:from>
    <xdr:to>
      <xdr:col>27</xdr:col>
      <xdr:colOff>591863</xdr:colOff>
      <xdr:row>59</xdr:row>
      <xdr:rowOff>135107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54926-8D28-8951-2DD4-1D2C595E8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31153" y="10047044"/>
          <a:ext cx="5222334" cy="5010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m Sutton | EAA" id="{8F8994E4-6C6D-4720-9C16-70CC0C21F789}" userId="S::sam.sutton@eaagri.com.au::c1c9ec41-5eb2-4c90-98fb-2c15a225c1f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2" dT="2026-01-05T04:29:06.81" personId="{8F8994E4-6C6D-4720-9C16-70CC0C21F789}" id="{D01AC2C4-316E-438A-A69E-81871F092AAA}">
    <text xml:space="preserve">Cash flow forecasts, and an applied growth rates are used to assess if a reduction (Impairment is needed)
</text>
  </threadedComment>
  <threadedComment ref="A34" dT="2026-01-05T04:42:48.00" personId="{8F8994E4-6C6D-4720-9C16-70CC0C21F789}" id="{E3E0D929-DBC9-40C2-95FA-1B3AA1F4E78D}">
    <text>Properties used to earn rental income and capital appreciation</text>
  </threadedComment>
  <threadedComment ref="A42" dT="2026-01-05T04:17:57.78" personId="{8F8994E4-6C6D-4720-9C16-70CC0C21F789}" id="{6068A01B-7983-471D-8BB9-67E97DE6B687}">
    <text>Interest on deposits benefited from higher interest rates .</text>
  </threadedComment>
  <threadedComment ref="A49" dT="2026-01-05T05:13:55.20" personId="{8F8994E4-6C6D-4720-9C16-70CC0C21F789}" id="{2DDDEE83-E656-4EDB-A3E8-A5544F9F7D0D}">
    <text>The Group leases several assets including buildings, plant and vehicles also incuring Interest on lease liability's</text>
  </threadedComment>
  <threadedComment ref="A51" dT="2026-01-05T04:56:26.65" personId="{8F8994E4-6C6D-4720-9C16-70CC0C21F789}" id="{E577375E-7202-40CE-B620-D3780E71011D}">
    <text xml:space="preserve">Providing for future expenses such as, self-insurance, contract &amp; Legal as well as property dilapidation and personnel-related provisions  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6-01-17T22:21:42.21" personId="{8F8994E4-6C6D-4720-9C16-70CC0C21F789}" id="{4931786A-6393-4365-98E4-5FF65093F18C}">
    <text xml:space="preserve">Reflects profit after direct production or contract delivery costs, before deducing admi expenses, financial costs, tax, share of joint ventures, etc and compliant with IFRS </text>
  </threadedComment>
  <threadedComment ref="J4" dT="2026-01-17T22:29:17.91" personId="{8F8994E4-6C6D-4720-9C16-70CC0C21F789}" id="{7B93652D-E2D6-43F3-BE3C-80C447D864A2}">
    <text>Goodwill &amp; Intangibles
Property plant and equipment
Investment property
Joint ventures
Inventory
Contract Assets
Trade and other receivables
Cash &amp; cash equivalents</text>
  </threadedComment>
  <threadedComment ref="J5" dT="2026-01-17T22:32:26.43" personId="{8F8994E4-6C6D-4720-9C16-70CC0C21F789}" id="{9A99104F-03E2-4B5C-BEE2-A380369210BE}">
    <text>Work in progress-
Primarily housing, commercial and mixed-use development under contract
&amp;
LAND</text>
  </threadedComment>
  <threadedComment ref="J6" dT="2026-01-17T22:39:30.94" personId="{8F8994E4-6C6D-4720-9C16-70CC0C21F789}" id="{DDEEE7ED-BB10-4AE1-9D3C-19FECDBE8141}">
    <text xml:space="preserve">Amounts owed to subcontractors
Trade payables
Contract liabilities
Taxes due
Short-term liabilities </text>
  </threadedComment>
  <threadedComment ref="O6" dT="2026-01-17T22:36:58.02" personId="{8F8994E4-6C6D-4720-9C16-70CC0C21F789}" id="{D539AE10-266C-48FB-B7B7-4047B553B1BF}">
    <text>Large amount reflects scale</text>
  </threadedComment>
  <threadedComment ref="H7" dT="2026-01-18T00:25:32.36" personId="{8F8994E4-6C6D-4720-9C16-70CC0C21F789}" id="{12AAD13E-F526-453C-8DEE-8C342C7F5D62}">
    <text>We want to see year-on-year improvement.
When this trends upwards a rising cost margin suggests the company is becoming more efficient, operationally strong and better at controlling direct costs.</text>
  </threadedComment>
  <threadedComment ref="I7" dT="2026-01-18T00:29:30.35" personId="{8F8994E4-6C6D-4720-9C16-70CC0C21F789}" id="{220F9A8F-6BD8-4570-8379-A037405DDFDA}">
    <text>An ideal GPM is smooth, predictable and slowly rising, construction margins are sensitive to material inflation, labour costs, subcontractor markets (stability signal good project control and strong supply chain management.</text>
  </threadedComment>
  <threadedComment ref="J7" dT="2026-01-17T22:41:44.45" personId="{8F8994E4-6C6D-4720-9C16-70CC0C21F789}" id="{33A164B3-EEB0-4EBA-A917-D898D3BF20AE}">
    <text>No external shareholders or minority stakes</text>
  </threadedComment>
  <threadedComment ref="O7" dT="2026-01-17T22:42:29.75" personId="{8F8994E4-6C6D-4720-9C16-70CC0C21F789}" id="{35555368-3CFE-4F19-935D-70D8F46B6ACA}">
    <text xml:space="preserve">Strong equity position + high cash flow = very low risk
</text>
  </threadedComment>
  <threadedComment ref="H8" dT="2026-01-18T00:35:52.70" personId="{8F8994E4-6C6D-4720-9C16-70CC0C21F789}" id="{C92DE9AF-CFFC-4FE6-83BE-D39E2D53C3B0}">
    <text>We want to see upward and stable increase.
(stable but low) 
This margin is typical for construction.</text>
  </threadedComment>
  <threadedComment ref="J8" dT="2026-01-17T22:44:48.55" personId="{8F8994E4-6C6D-4720-9C16-70CC0C21F789}" id="{8E50CE25-937A-4943-807F-6E8098E554C5}">
    <text xml:space="preserve">Inventory
Contract assets
Trade &amp; other receivables
Current tax assets
Cash &amp; cash equivalent
</text>
  </threadedComment>
  <threadedComment ref="O8" dT="2026-01-17T22:46:10.01" personId="{8F8994E4-6C6D-4720-9C16-70CC0C21F789}" id="{107D4D60-365D-4C31-90B1-E200FB9EC608}">
    <text xml:space="preserve">Significant liquid &amp; near-liquid assets </text>
  </threadedComment>
  <threadedComment ref="H9" dT="2026-01-18T00:38:01.55" personId="{8F8994E4-6C6D-4720-9C16-70CC0C21F789}" id="{4760BA00-3B06-46AD-83AA-D78B1FD295B9}">
    <text>This is a positive, improving trend,
Increasing in line with NPM</text>
  </threadedComment>
  <threadedComment ref="I9" dT="2026-01-18T00:40:28.02" personId="{8F8994E4-6C6D-4720-9C16-70CC0C21F789}" id="{267561FB-1CFF-44EB-9BD6-27508E8E1FE6}">
    <text xml:space="preserve">The company is becoming more efficient at turning its assets into real profit.
</text>
  </threadedComment>
  <threadedComment ref="J10" dT="2026-01-17T22:52:06.43" personId="{8F8994E4-6C6D-4720-9C16-70CC0C21F789}" id="{8C210E9B-2F03-410E-AB26-052BAB75491B}">
    <text>Normal value of shared  &amp; amount paid in share premium + minor capital reserves + accumulated profit after Dividends.</text>
  </threadedComment>
  <threadedComment ref="J11" dT="2026-01-17T22:54:10.21" personId="{8F8994E4-6C6D-4720-9C16-70CC0C21F789}" id="{2E95932D-3880-4108-93EE-2E8A83CA7C15}">
    <text>Amounts due from customers
Certified but unpaid invoices
Other short-term debtors</text>
  </threadedComment>
  <threadedComment ref="H12" dT="2026-01-18T00:44:11.94" personId="{8F8994E4-6C6D-4720-9C16-70CC0C21F789}" id="{45CF639F-CDE5-4D55-9D2A-8B3A2A4FF7BC}">
    <text xml:space="preserve">Inventory holding period.
Inventory many consist of Land, WIP and materials for construction. 
This number reflects how efficiently the company turns land &amp; development stock into completed billable works.
</text>
  </threadedComment>
  <threadedComment ref="I12" dT="2026-01-18T00:47:40.62" personId="{8F8994E4-6C6D-4720-9C16-70CC0C21F789}" id="{1FC541FF-0B8B-4883-9724-81E5393BCD8B}">
    <text xml:space="preserve">Inventory days increase- although the numbers are very low, indicating fast turnover. More WIP and Land under development means more inventory held </text>
  </threadedComment>
  <threadedComment ref="J13" dT="2026-01-17T22:59:40.07" personId="{8F8994E4-6C6D-4720-9C16-70CC0C21F789}" id="{2944F8C0-2DC4-4053-9D85-E56C1EFBBE5B}">
    <text xml:space="preserve">$180m of Committed bank facilities, none were drawn during 2024 and mature in 2027. (51.8m of bank overdrafts)
This is the TOTAL liability's </text>
  </threadedComment>
  <threadedComment ref="J14" dT="2026-01-17T23:01:40.11" personId="{8F8994E4-6C6D-4720-9C16-70CC0C21F789}" id="{65ECC76C-0306-4A56-8849-8837B128A606}">
    <text xml:space="preserve">Operating Profit before tax &amp; interest
(profit before the impact of tax and interest) PROFITABILITY 
</text>
  </threadedComment>
  <threadedComment ref="H16" dT="2026-01-18T01:09:04.83" personId="{8F8994E4-6C6D-4720-9C16-70CC0C21F789}" id="{6DA549BB-BD33-4173-967B-6A8E22B6C4EE}">
    <text xml:space="preserve">Does the company have enough short term assets to cover short term debts
Liquidity has improved over time, now holding $1.22 in current assets for each $1 of current liability's
</text>
  </threadedComment>
  <threadedComment ref="H17" dT="2026-01-18T01:43:04.41" personId="{8F8994E4-6C6D-4720-9C16-70CC0C21F789}" id="{BC9DE4C1-2835-4D43-9EF1-14478D7A8B85}">
    <text xml:space="preserve">This has dopped; </text>
  </threadedComment>
  <threadedComment ref="J17" dT="2026-01-17T23:54:30.75" personId="{8F8994E4-6C6D-4720-9C16-70CC0C21F789}" id="{4C18184E-ADEB-4DF0-9AA8-93B43086FF19}">
    <text xml:space="preserve">Bank deposit interest
Interest received from joint ventures 
</text>
  </threadedComment>
  <threadedComment ref="O17" dT="2026-01-17T23:59:11.13" personId="{8F8994E4-6C6D-4720-9C16-70CC0C21F789}" id="{CE22B01A-7D06-4C92-AD37-E2EE5471C218}">
    <text xml:space="preserve">The company is net cash positive ( earning more interest than it pays )
</text>
  </threadedComment>
  <threadedComment ref="H18" dT="2026-01-18T01:43:53.71" personId="{8F8994E4-6C6D-4720-9C16-70CC0C21F789}" id="{CDB64278-DAAA-48B0-A4B0-BBEB8584580E}">
    <text>Immediate liability have increased</text>
  </threadedComment>
  <threadedComment ref="I18" dT="2026-01-18T01:45:32.16" personId="{8F8994E4-6C6D-4720-9C16-70CC0C21F789}" id="{A449F04B-A4BD-4456-BB73-2AA6F626B653}">
    <text xml:space="preserve">I2024 looks more liquid on paper (total current assets are higher),
but when you strip out less liquid items (inventory, prepayments, receivables), the underlying cash liquidity has weakened.
</text>
  </threadedComment>
  <threadedComment ref="J18" dT="2026-01-18T00:02:21.80" personId="{8F8994E4-6C6D-4720-9C16-70CC0C21F789}" id="{FEBE251C-FFBC-47C4-9E19-7CAE1D021AAE}">
    <text xml:space="preserve">Strong profits
Robust cash position
High-quality order book
Consistent capital allocation discipline </text>
  </threadedComment>
  <threadedComment ref="O18" dT="2026-01-18T00:00:23.60" personId="{8F8994E4-6C6D-4720-9C16-70CC0C21F789}" id="{0ADE7912-9299-43AC-8690-27998E233BCC}">
    <text xml:space="preserve">Paid at Pence per share </text>
  </threadedComment>
  <threadedComment ref="I22" dT="2026-01-18T01:48:09.47" personId="{8F8994E4-6C6D-4720-9C16-70CC0C21F789}" id="{2F39FA4B-01FB-49E4-93DF-EB69154D7F8D}">
    <text>This ratio looks at how much debt the company uses to finacice assets compared to equity.</text>
  </threadedComment>
  <threadedComment ref="H23" dT="2026-01-18T01:54:56.13" personId="{8F8994E4-6C6D-4720-9C16-70CC0C21F789}" id="{55B0D66E-67B4-4F5E-87E9-E6640F4ED1B1}">
    <text xml:space="preserve">In 2024 the company has the capacity to pay its interest 19.52 times over.
High interest earning capacity
Strong earnings
Low financial strain
</text>
  </threadedComment>
  <threadedComment ref="I23" dT="2026-01-18T01:52:51.40" personId="{8F8994E4-6C6D-4720-9C16-70CC0C21F789}" id="{64DB5FB6-9206-431D-A175-27217A06BF43}">
    <text xml:space="preserve">The company's ability to cover interest obligations </text>
  </threadedComment>
  <threadedComment ref="H26" dT="2026-01-18T01:57:20.71" personId="{8F8994E4-6C6D-4720-9C16-70CC0C21F789}" id="{E4FB3645-510E-440F-BAD6-D93C2C6D785F}">
    <text xml:space="preserve">This is a positive trend - the company is becoming more profitable per share.
</text>
  </threadedComment>
  <threadedComment ref="I26" dT="2026-01-18T01:57:52.29" personId="{8F8994E4-6C6D-4720-9C16-70CC0C21F789}" id="{3762E598-BEF0-4616-AB0B-96BE35105554}">
    <text>EPS measures net profit per share</text>
  </threadedComment>
  <threadedComment ref="H27" dT="2026-01-18T01:58:26.22" personId="{8F8994E4-6C6D-4720-9C16-70CC0C21F789}" id="{89C4BB20-3502-4F4C-B156-D662533E7D46}">
    <text>This is a positive trend (Healthy) the cash the company hands back to investors has grown</text>
  </threadedComment>
  <threadedComment ref="I27" dT="2026-01-18T01:59:12.05" personId="{8F8994E4-6C6D-4720-9C16-70CC0C21F789}" id="{52AC65AE-096A-433D-9877-9447DAC816FE}">
    <text>Confident dividend policy</text>
  </threadedComment>
  <threadedComment ref="H28" dT="2026-01-18T02:00:46.83" personId="{8F8994E4-6C6D-4720-9C16-70CC0C21F789}" id="{EBFE3F59-46DE-4630-990C-C37393E91D25}">
    <text>Moderate yield - stable return to shareholders</text>
  </threadedComment>
  <threadedComment ref="H29" dT="2026-02-02T00:04:49.30" personId="{8F8994E4-6C6D-4720-9C16-70CC0C21F789}" id="{EB37994D-EAD6-4D0D-BAE0-52EA615A020C}">
    <text xml:space="preserve">Are investors willing to pay more for each pound of profit. </text>
  </threadedComment>
  <threadedComment ref="I29" dT="2026-01-18T02:01:28.32" personId="{8F8994E4-6C6D-4720-9C16-70CC0C21F789}" id="{186EEF4E-D388-4EC8-B627-BAFBCA339E75}">
    <text>How much investors are willing to pay per $1 of earnings</text>
  </threadedComment>
  <threadedComment ref="H30" dT="2026-01-18T02:03:12.23" personId="{8F8994E4-6C6D-4720-9C16-70CC0C21F789}" id="{A63F3482-E1C8-42B0-AB52-C1FADDD8FBFD}">
    <text>Positive trend
Shareholder equity per share is growing.</text>
  </threadedComment>
  <threadedComment ref="I30" dT="2026-01-18T02:03:28.30" personId="{8F8994E4-6C6D-4720-9C16-70CC0C21F789}" id="{3A36E383-578D-461D-BD95-4027A5DFF2F7}">
    <text>Book Value per share</text>
  </threadedComment>
  <threadedComment ref="C44" dT="2026-01-17T07:26:48.13" personId="{8F8994E4-6C6D-4720-9C16-70CC0C21F789}" id="{CED21A8C-1DBD-492B-8B62-0E5D6E4E6C34}">
    <text xml:space="preserve">Located in section - Trade and other receivable.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7"/>
  <sheetViews>
    <sheetView tabSelected="1" topLeftCell="A28" zoomScaleNormal="100" workbookViewId="0">
      <selection activeCell="H26" sqref="H26:M147"/>
    </sheetView>
  </sheetViews>
  <sheetFormatPr defaultRowHeight="13.2" x14ac:dyDescent="0.25"/>
  <cols>
    <col min="1" max="1" width="8.88671875" style="121"/>
    <col min="2" max="2" width="79" customWidth="1"/>
    <col min="3" max="3" width="0.6640625" hidden="1" customWidth="1"/>
    <col min="4" max="7" width="13.6640625" customWidth="1"/>
  </cols>
  <sheetData>
    <row r="1" spans="1:15" ht="16.8" x14ac:dyDescent="0.35">
      <c r="A1" s="118"/>
      <c r="B1" s="1"/>
      <c r="C1" s="1"/>
      <c r="D1" s="2"/>
      <c r="E1" s="2"/>
      <c r="F1" s="2"/>
      <c r="G1" s="1"/>
      <c r="H1" s="154" t="s">
        <v>37</v>
      </c>
      <c r="I1" s="155"/>
      <c r="J1" s="155"/>
      <c r="K1" s="155"/>
      <c r="L1" s="155"/>
      <c r="M1" s="155"/>
    </row>
    <row r="2" spans="1:15" ht="16.8" x14ac:dyDescent="0.35">
      <c r="A2" s="118"/>
      <c r="B2" s="166" t="s">
        <v>64</v>
      </c>
      <c r="C2" s="166"/>
      <c r="D2" s="167"/>
      <c r="E2" s="167"/>
      <c r="F2" s="167"/>
      <c r="G2" s="167"/>
      <c r="H2" s="163" t="s">
        <v>143</v>
      </c>
      <c r="I2" s="164"/>
      <c r="J2" s="164"/>
      <c r="K2" s="164"/>
      <c r="L2" s="164"/>
      <c r="M2" s="164"/>
    </row>
    <row r="3" spans="1:15" ht="16.8" x14ac:dyDescent="0.35">
      <c r="A3" s="118"/>
      <c r="B3" s="168" t="s">
        <v>60</v>
      </c>
      <c r="C3" s="168"/>
      <c r="D3" s="155"/>
      <c r="E3" s="155"/>
      <c r="F3" s="155"/>
      <c r="G3" s="155"/>
      <c r="H3" s="165"/>
      <c r="I3" s="164"/>
      <c r="J3" s="164"/>
      <c r="K3" s="164"/>
      <c r="L3" s="164"/>
      <c r="M3" s="164"/>
    </row>
    <row r="4" spans="1:15" ht="15.6" thickBot="1" x14ac:dyDescent="0.4">
      <c r="A4" s="118"/>
      <c r="B4" s="169" t="s">
        <v>75</v>
      </c>
      <c r="C4" s="169"/>
      <c r="D4" s="170"/>
      <c r="E4" s="170"/>
      <c r="F4" s="170"/>
      <c r="G4" s="170"/>
      <c r="H4" s="165"/>
      <c r="I4" s="164"/>
      <c r="J4" s="164"/>
      <c r="K4" s="164"/>
      <c r="L4" s="164"/>
      <c r="M4" s="164"/>
    </row>
    <row r="5" spans="1:15" ht="14.4" x14ac:dyDescent="0.35">
      <c r="A5" s="118"/>
      <c r="B5" s="1"/>
      <c r="C5" s="1"/>
      <c r="D5" s="3">
        <f>+E5+1</f>
        <v>2024</v>
      </c>
      <c r="E5" s="3">
        <f>+F5+1</f>
        <v>2023</v>
      </c>
      <c r="F5" s="3">
        <f>+G5+1</f>
        <v>2022</v>
      </c>
      <c r="G5" s="3">
        <v>2021</v>
      </c>
      <c r="H5" s="165"/>
      <c r="I5" s="164"/>
      <c r="J5" s="164"/>
      <c r="K5" s="164"/>
      <c r="L5" s="164"/>
      <c r="M5" s="164"/>
    </row>
    <row r="6" spans="1:15" ht="15" thickBot="1" x14ac:dyDescent="0.4">
      <c r="A6" s="118"/>
      <c r="B6" s="1"/>
      <c r="C6" s="1"/>
      <c r="D6" s="104" t="s">
        <v>151</v>
      </c>
      <c r="E6" s="104" t="s">
        <v>151</v>
      </c>
      <c r="F6" s="104" t="s">
        <v>151</v>
      </c>
      <c r="G6" s="104" t="s">
        <v>151</v>
      </c>
      <c r="H6" s="165"/>
      <c r="I6" s="164"/>
      <c r="J6" s="164"/>
      <c r="K6" s="164"/>
      <c r="L6" s="164"/>
      <c r="M6" s="164"/>
    </row>
    <row r="7" spans="1:15" ht="14.4" x14ac:dyDescent="0.35">
      <c r="A7" s="118"/>
      <c r="B7" s="48"/>
      <c r="C7" s="1"/>
      <c r="D7" s="5"/>
      <c r="E7" s="5"/>
      <c r="F7" s="5"/>
      <c r="G7" s="5"/>
      <c r="H7" s="165"/>
      <c r="I7" s="164"/>
      <c r="J7" s="164"/>
      <c r="K7" s="164"/>
      <c r="L7" s="164"/>
      <c r="M7" s="164"/>
    </row>
    <row r="8" spans="1:15" ht="14.4" x14ac:dyDescent="0.35">
      <c r="A8" s="118"/>
      <c r="B8" s="59" t="s">
        <v>65</v>
      </c>
      <c r="C8" s="60"/>
      <c r="D8" s="61">
        <f t="shared" ref="D8:E8" si="0">E21</f>
        <v>568.1</v>
      </c>
      <c r="E8" s="61">
        <f t="shared" si="0"/>
        <v>496.20000000000005</v>
      </c>
      <c r="F8" s="61">
        <f>G21</f>
        <v>474.20000000000005</v>
      </c>
      <c r="G8" s="61">
        <v>420.1</v>
      </c>
      <c r="H8" s="165"/>
      <c r="I8" s="164"/>
      <c r="J8" s="164"/>
      <c r="K8" s="164"/>
      <c r="L8" s="164"/>
      <c r="M8" s="164"/>
    </row>
    <row r="9" spans="1:15" ht="14.4" x14ac:dyDescent="0.35">
      <c r="A9" s="118"/>
      <c r="B9" s="48"/>
      <c r="C9" s="1"/>
      <c r="D9" s="6"/>
      <c r="E9" s="6"/>
      <c r="F9" s="6"/>
      <c r="G9" s="6"/>
      <c r="H9" s="165"/>
      <c r="I9" s="164"/>
      <c r="J9" s="164"/>
      <c r="K9" s="164"/>
      <c r="L9" s="164"/>
      <c r="M9" s="164"/>
    </row>
    <row r="10" spans="1:15" ht="14.4" x14ac:dyDescent="0.35">
      <c r="A10" s="118"/>
      <c r="B10" s="62"/>
      <c r="C10" s="63"/>
      <c r="D10" s="64"/>
      <c r="E10" s="64"/>
      <c r="F10" s="64"/>
      <c r="G10" s="64"/>
      <c r="H10" s="165"/>
      <c r="I10" s="164"/>
      <c r="J10" s="164"/>
      <c r="K10" s="164"/>
      <c r="L10" s="164"/>
      <c r="M10" s="164"/>
    </row>
    <row r="11" spans="1:15" ht="14.4" x14ac:dyDescent="0.35">
      <c r="A11" s="118"/>
      <c r="B11" s="48" t="s">
        <v>66</v>
      </c>
      <c r="C11" s="1"/>
      <c r="D11" s="6">
        <v>131.69999999999999</v>
      </c>
      <c r="E11" s="6">
        <v>117.7</v>
      </c>
      <c r="F11" s="6">
        <v>60.9</v>
      </c>
      <c r="G11" s="6">
        <v>97.9</v>
      </c>
      <c r="H11" s="165"/>
      <c r="I11" s="164"/>
      <c r="J11" s="164"/>
      <c r="K11" s="164"/>
      <c r="L11" s="164"/>
      <c r="M11" s="164"/>
    </row>
    <row r="12" spans="1:15" ht="14.4" x14ac:dyDescent="0.35">
      <c r="A12" s="118"/>
      <c r="B12" s="49" t="s">
        <v>67</v>
      </c>
      <c r="C12" s="9"/>
      <c r="D12" s="46">
        <v>-0.4</v>
      </c>
      <c r="E12" s="46">
        <v>0.2</v>
      </c>
      <c r="F12" s="46">
        <v>2.1</v>
      </c>
      <c r="G12" s="46">
        <v>-0.2</v>
      </c>
      <c r="H12" s="165"/>
      <c r="I12" s="164"/>
      <c r="J12" s="164"/>
      <c r="K12" s="164"/>
      <c r="L12" s="164"/>
      <c r="M12" s="164"/>
    </row>
    <row r="13" spans="1:15" ht="14.4" x14ac:dyDescent="0.35">
      <c r="A13" s="118"/>
      <c r="B13" s="50" t="s">
        <v>68</v>
      </c>
      <c r="C13" s="47"/>
      <c r="D13" s="70">
        <f t="shared" ref="D13:F13" si="1">SUM(D11:D12)</f>
        <v>131.29999999999998</v>
      </c>
      <c r="E13" s="70">
        <f t="shared" si="1"/>
        <v>117.9</v>
      </c>
      <c r="F13" s="70">
        <f t="shared" si="1"/>
        <v>63</v>
      </c>
      <c r="G13" s="70">
        <f>SUM(G11:G12)</f>
        <v>97.7</v>
      </c>
      <c r="H13" s="165"/>
      <c r="I13" s="164"/>
      <c r="J13" s="164"/>
      <c r="K13" s="164"/>
      <c r="L13" s="164"/>
      <c r="M13" s="164"/>
    </row>
    <row r="14" spans="1:15" ht="14.4" x14ac:dyDescent="0.35">
      <c r="A14" s="118"/>
      <c r="B14" s="49" t="s">
        <v>69</v>
      </c>
      <c r="C14" s="9"/>
      <c r="D14" s="46">
        <v>10.5</v>
      </c>
      <c r="E14" s="46">
        <v>6.6</v>
      </c>
      <c r="F14" s="46">
        <v>9.6999999999999993</v>
      </c>
      <c r="G14" s="46">
        <v>12.1</v>
      </c>
      <c r="H14" s="165"/>
      <c r="I14" s="164"/>
      <c r="J14" s="164"/>
      <c r="K14" s="164"/>
      <c r="L14" s="164"/>
      <c r="M14" s="164"/>
    </row>
    <row r="15" spans="1:15" ht="14.4" x14ac:dyDescent="0.35">
      <c r="A15" s="118"/>
      <c r="B15" s="50" t="s">
        <v>70</v>
      </c>
      <c r="C15" s="47"/>
      <c r="D15" s="71">
        <v>11.4</v>
      </c>
      <c r="E15" s="71">
        <v>2.7</v>
      </c>
      <c r="F15" s="71">
        <v>-3.3</v>
      </c>
      <c r="G15" s="71">
        <v>8.1999999999999993</v>
      </c>
      <c r="H15" s="165"/>
      <c r="I15" s="164"/>
      <c r="J15" s="164"/>
      <c r="K15" s="164"/>
      <c r="L15" s="164"/>
      <c r="M15" s="164"/>
    </row>
    <row r="16" spans="1:15" ht="14.4" x14ac:dyDescent="0.35">
      <c r="A16" s="118"/>
      <c r="B16" s="49" t="s">
        <v>71</v>
      </c>
      <c r="C16" s="9"/>
      <c r="D16" s="46">
        <v>9.6999999999999993</v>
      </c>
      <c r="E16" s="46">
        <v>0.1</v>
      </c>
      <c r="F16" s="46">
        <v>10.199999999999999</v>
      </c>
      <c r="G16" s="46">
        <v>0.3</v>
      </c>
      <c r="H16" s="165"/>
      <c r="I16" s="164"/>
      <c r="J16" s="164"/>
      <c r="K16" s="164"/>
      <c r="L16" s="164"/>
      <c r="M16" s="164"/>
      <c r="O16">
        <f>496.2+117.7+0.2+6.6+2.7+0.1-11.3+4-48.1</f>
        <v>568.10000000000014</v>
      </c>
    </row>
    <row r="17" spans="1:13" ht="14.4" x14ac:dyDescent="0.35">
      <c r="A17" s="118"/>
      <c r="B17" s="86" t="s">
        <v>72</v>
      </c>
      <c r="C17" s="8"/>
      <c r="D17" s="87">
        <v>19.5</v>
      </c>
      <c r="E17" s="87">
        <v>4</v>
      </c>
      <c r="F17" s="87">
        <v>1.6</v>
      </c>
      <c r="G17" s="87">
        <v>1.7</v>
      </c>
      <c r="H17" s="165"/>
      <c r="I17" s="164"/>
      <c r="J17" s="164"/>
      <c r="K17" s="164"/>
      <c r="L17" s="164"/>
      <c r="M17" s="164"/>
    </row>
    <row r="18" spans="1:13" ht="14.4" x14ac:dyDescent="0.35">
      <c r="A18" s="118"/>
      <c r="B18" s="49" t="s">
        <v>73</v>
      </c>
      <c r="C18" s="9"/>
      <c r="D18" s="46">
        <v>-47.2</v>
      </c>
      <c r="E18" s="46">
        <v>-11.3</v>
      </c>
      <c r="F18" s="46">
        <v>-15.7</v>
      </c>
      <c r="G18" s="46">
        <v>-33.6</v>
      </c>
      <c r="H18" s="165"/>
      <c r="I18" s="164"/>
      <c r="J18" s="164"/>
      <c r="K18" s="164"/>
      <c r="L18" s="164"/>
      <c r="M18" s="164"/>
    </row>
    <row r="19" spans="1:13" ht="15.75" customHeight="1" x14ac:dyDescent="0.35">
      <c r="A19" s="118"/>
      <c r="B19" s="86" t="s">
        <v>74</v>
      </c>
      <c r="C19" s="8"/>
      <c r="D19" s="87">
        <v>-56.1</v>
      </c>
      <c r="E19" s="87">
        <v>-48.1</v>
      </c>
      <c r="F19" s="87">
        <v>-43.5</v>
      </c>
      <c r="G19" s="87">
        <v>-32.299999999999997</v>
      </c>
      <c r="H19" s="165"/>
      <c r="I19" s="164"/>
      <c r="J19" s="164"/>
      <c r="K19" s="164"/>
      <c r="L19" s="164"/>
      <c r="M19" s="164"/>
    </row>
    <row r="20" spans="1:13" ht="15.75" customHeight="1" x14ac:dyDescent="0.35">
      <c r="A20" s="118"/>
      <c r="B20" s="62" t="s">
        <v>145</v>
      </c>
      <c r="C20" s="88"/>
      <c r="D20" s="64">
        <f t="shared" ref="D20:F20" si="2">SUM(D14:D19)</f>
        <v>-52.20000000000001</v>
      </c>
      <c r="E20" s="64">
        <f t="shared" si="2"/>
        <v>-46</v>
      </c>
      <c r="F20" s="64">
        <f t="shared" si="2"/>
        <v>-41</v>
      </c>
      <c r="G20" s="64">
        <f>SUM(G14:G19)</f>
        <v>-43.6</v>
      </c>
      <c r="H20" s="165"/>
      <c r="I20" s="164"/>
      <c r="J20" s="164"/>
      <c r="K20" s="164"/>
      <c r="L20" s="164"/>
      <c r="M20" s="164"/>
    </row>
    <row r="21" spans="1:13" ht="14.4" x14ac:dyDescent="0.35">
      <c r="A21" s="118"/>
      <c r="B21" s="89" t="s">
        <v>142</v>
      </c>
      <c r="C21" s="90"/>
      <c r="D21" s="91">
        <f t="shared" ref="D21:F21" si="3">D8+D13+D20</f>
        <v>647.19999999999993</v>
      </c>
      <c r="E21" s="91">
        <f t="shared" si="3"/>
        <v>568.1</v>
      </c>
      <c r="F21" s="91">
        <f t="shared" si="3"/>
        <v>496.20000000000005</v>
      </c>
      <c r="G21" s="91">
        <f>G8+G13+G20</f>
        <v>474.20000000000005</v>
      </c>
      <c r="H21" s="165"/>
      <c r="I21" s="164"/>
      <c r="J21" s="164"/>
      <c r="K21" s="164"/>
      <c r="L21" s="164"/>
      <c r="M21" s="164"/>
    </row>
    <row r="22" spans="1:13" ht="14.4" x14ac:dyDescent="0.35">
      <c r="A22" s="118"/>
      <c r="B22" s="48"/>
      <c r="C22" s="1"/>
      <c r="D22" s="6"/>
      <c r="E22" s="6"/>
      <c r="F22" s="6"/>
      <c r="G22" s="6"/>
      <c r="H22" s="165"/>
      <c r="I22" s="164"/>
      <c r="J22" s="164"/>
      <c r="K22" s="164"/>
      <c r="L22" s="164"/>
      <c r="M22" s="164"/>
    </row>
    <row r="23" spans="1:13" ht="14.4" x14ac:dyDescent="0.35">
      <c r="A23" s="118"/>
      <c r="B23" s="49"/>
      <c r="C23" s="9"/>
      <c r="D23" s="46"/>
      <c r="E23" s="46"/>
      <c r="F23" s="46"/>
      <c r="G23" s="46"/>
      <c r="H23" s="165"/>
      <c r="I23" s="164"/>
      <c r="J23" s="164"/>
      <c r="K23" s="164"/>
      <c r="L23" s="164"/>
      <c r="M23" s="164"/>
    </row>
    <row r="24" spans="1:13" ht="14.4" x14ac:dyDescent="0.35">
      <c r="A24" s="118"/>
      <c r="B24" s="48"/>
      <c r="C24" s="1"/>
      <c r="D24" s="6"/>
      <c r="E24" s="6"/>
      <c r="F24" s="6"/>
      <c r="G24" s="6"/>
      <c r="H24" s="165"/>
      <c r="I24" s="164"/>
      <c r="J24" s="164"/>
      <c r="K24" s="164"/>
      <c r="L24" s="164"/>
      <c r="M24" s="164"/>
    </row>
    <row r="25" spans="1:13" ht="16.8" x14ac:dyDescent="0.35">
      <c r="A25" s="118"/>
      <c r="B25" s="1"/>
      <c r="C25" s="1"/>
      <c r="D25" s="2"/>
      <c r="E25" s="2"/>
      <c r="F25" s="2"/>
      <c r="G25" s="1"/>
      <c r="H25" s="154" t="s">
        <v>39</v>
      </c>
      <c r="I25" s="155"/>
      <c r="J25" s="155"/>
      <c r="K25" s="155"/>
      <c r="L25" s="155"/>
      <c r="M25" s="155"/>
    </row>
    <row r="26" spans="1:13" ht="16.8" x14ac:dyDescent="0.35">
      <c r="A26" s="118"/>
      <c r="B26" s="166" t="str">
        <f>+B2</f>
        <v>Morgan Sindall Group</v>
      </c>
      <c r="C26" s="166"/>
      <c r="D26" s="167"/>
      <c r="E26" s="167"/>
      <c r="F26" s="167"/>
      <c r="G26" s="167"/>
      <c r="H26" s="158"/>
      <c r="I26" s="155"/>
      <c r="J26" s="155"/>
      <c r="K26" s="155"/>
      <c r="L26" s="155"/>
      <c r="M26" s="155"/>
    </row>
    <row r="27" spans="1:13" ht="16.8" x14ac:dyDescent="0.35">
      <c r="A27" s="118"/>
      <c r="B27" s="168" t="s">
        <v>42</v>
      </c>
      <c r="C27" s="168"/>
      <c r="D27" s="155"/>
      <c r="E27" s="155"/>
      <c r="F27" s="155"/>
      <c r="G27" s="155"/>
      <c r="H27" s="159"/>
      <c r="I27" s="155"/>
      <c r="J27" s="155"/>
      <c r="K27" s="155"/>
      <c r="L27" s="155"/>
      <c r="M27" s="155"/>
    </row>
    <row r="28" spans="1:13" ht="15.6" thickBot="1" x14ac:dyDescent="0.4">
      <c r="A28" s="118"/>
      <c r="B28" s="169" t="s">
        <v>144</v>
      </c>
      <c r="C28" s="169"/>
      <c r="D28" s="170"/>
      <c r="E28" s="170"/>
      <c r="F28" s="170"/>
      <c r="G28" s="170"/>
      <c r="H28" s="159"/>
      <c r="I28" s="155"/>
      <c r="J28" s="155"/>
      <c r="K28" s="155"/>
      <c r="L28" s="155"/>
      <c r="M28" s="155"/>
    </row>
    <row r="29" spans="1:13" ht="14.4" x14ac:dyDescent="0.35">
      <c r="A29" s="118"/>
      <c r="B29" s="1"/>
      <c r="C29" s="1"/>
      <c r="D29" s="3">
        <f>+D5</f>
        <v>2024</v>
      </c>
      <c r="E29" s="3">
        <f>+E5</f>
        <v>2023</v>
      </c>
      <c r="F29" s="3">
        <f>+F5</f>
        <v>2022</v>
      </c>
      <c r="G29" s="3">
        <f>+G5</f>
        <v>2021</v>
      </c>
      <c r="H29" s="159"/>
      <c r="I29" s="155"/>
      <c r="J29" s="155"/>
      <c r="K29" s="155"/>
      <c r="L29" s="155"/>
      <c r="M29" s="155"/>
    </row>
    <row r="30" spans="1:13" ht="15" thickBot="1" x14ac:dyDescent="0.4">
      <c r="A30" s="118"/>
      <c r="B30" s="1"/>
      <c r="C30" s="1"/>
      <c r="D30" s="4" t="str">
        <f>+G6</f>
        <v>$m</v>
      </c>
      <c r="E30" s="4" t="str">
        <f>+G6</f>
        <v>$m</v>
      </c>
      <c r="F30" s="4" t="str">
        <f>+G6</f>
        <v>$m</v>
      </c>
      <c r="G30" s="4" t="str">
        <f>+G6</f>
        <v>$m</v>
      </c>
      <c r="H30" s="159"/>
      <c r="I30" s="155"/>
      <c r="J30" s="155"/>
      <c r="K30" s="155"/>
      <c r="L30" s="155"/>
      <c r="M30" s="155"/>
    </row>
    <row r="31" spans="1:13" ht="12.6" customHeight="1" x14ac:dyDescent="0.35">
      <c r="A31" s="119"/>
      <c r="B31" s="65" t="s">
        <v>76</v>
      </c>
      <c r="C31" s="66"/>
      <c r="D31" s="67"/>
      <c r="E31" s="67"/>
      <c r="F31" s="67"/>
      <c r="G31" s="67"/>
      <c r="H31" s="159"/>
      <c r="I31" s="155"/>
      <c r="J31" s="155"/>
      <c r="K31" s="155"/>
      <c r="L31" s="155"/>
      <c r="M31" s="155"/>
    </row>
    <row r="32" spans="1:13" ht="15" x14ac:dyDescent="0.35">
      <c r="A32" s="134" t="s">
        <v>154</v>
      </c>
      <c r="B32" s="72" t="s">
        <v>77</v>
      </c>
      <c r="C32" s="73"/>
      <c r="D32" s="74">
        <v>218.1</v>
      </c>
      <c r="E32" s="74">
        <v>218.6</v>
      </c>
      <c r="F32" s="74">
        <v>221.2</v>
      </c>
      <c r="G32" s="74">
        <v>221.9</v>
      </c>
      <c r="H32" s="159"/>
      <c r="I32" s="155"/>
      <c r="J32" s="155"/>
      <c r="K32" s="155"/>
      <c r="L32" s="155"/>
      <c r="M32" s="155"/>
    </row>
    <row r="33" spans="1:13" ht="15" x14ac:dyDescent="0.35">
      <c r="A33" s="134" t="s">
        <v>154</v>
      </c>
      <c r="B33" s="75" t="s">
        <v>78</v>
      </c>
      <c r="C33" s="76"/>
      <c r="D33" s="77">
        <v>95.1</v>
      </c>
      <c r="E33" s="77">
        <v>86</v>
      </c>
      <c r="F33" s="77">
        <v>74.8</v>
      </c>
      <c r="G33" s="77">
        <v>66.599999999999994</v>
      </c>
      <c r="H33" s="159"/>
      <c r="I33" s="155"/>
      <c r="J33" s="155"/>
      <c r="K33" s="155"/>
      <c r="L33" s="155"/>
      <c r="M33" s="155"/>
    </row>
    <row r="34" spans="1:13" ht="15" x14ac:dyDescent="0.35">
      <c r="A34" s="134" t="s">
        <v>154</v>
      </c>
      <c r="B34" s="72" t="s">
        <v>79</v>
      </c>
      <c r="C34" s="73"/>
      <c r="D34" s="74">
        <v>0.6</v>
      </c>
      <c r="E34" s="74">
        <v>0.8</v>
      </c>
      <c r="F34" s="74">
        <v>0.8</v>
      </c>
      <c r="G34" s="74">
        <v>0.8</v>
      </c>
      <c r="H34" s="159"/>
      <c r="I34" s="155"/>
      <c r="J34" s="155"/>
      <c r="K34" s="155"/>
      <c r="L34" s="155"/>
      <c r="M34" s="155"/>
    </row>
    <row r="35" spans="1:13" ht="15" x14ac:dyDescent="0.35">
      <c r="A35" s="134" t="s">
        <v>154</v>
      </c>
      <c r="B35" s="75" t="s">
        <v>80</v>
      </c>
      <c r="C35" s="76"/>
      <c r="D35" s="77">
        <v>111.9</v>
      </c>
      <c r="E35" s="77">
        <v>106.6</v>
      </c>
      <c r="F35" s="77">
        <v>84</v>
      </c>
      <c r="G35" s="77">
        <v>94.1</v>
      </c>
      <c r="H35" s="159"/>
      <c r="I35" s="155"/>
      <c r="J35" s="155"/>
      <c r="K35" s="155"/>
      <c r="L35" s="155"/>
      <c r="M35" s="155"/>
    </row>
    <row r="36" spans="1:13" ht="15" x14ac:dyDescent="0.35">
      <c r="A36" s="117"/>
      <c r="B36" s="69" t="s">
        <v>81</v>
      </c>
      <c r="C36" s="73"/>
      <c r="D36" s="78">
        <f t="shared" ref="D36:F36" si="4">SUM(D32:D35)</f>
        <v>425.70000000000005</v>
      </c>
      <c r="E36" s="78">
        <f t="shared" si="4"/>
        <v>412</v>
      </c>
      <c r="F36" s="78">
        <f t="shared" si="4"/>
        <v>380.8</v>
      </c>
      <c r="G36" s="78">
        <f>SUM(G32:G35)</f>
        <v>383.4</v>
      </c>
      <c r="H36" s="159"/>
      <c r="I36" s="155"/>
      <c r="J36" s="155"/>
      <c r="K36" s="155"/>
      <c r="L36" s="155"/>
      <c r="M36" s="155"/>
    </row>
    <row r="37" spans="1:13" ht="15" x14ac:dyDescent="0.35">
      <c r="A37" s="134" t="s">
        <v>154</v>
      </c>
      <c r="B37" s="75" t="s">
        <v>82</v>
      </c>
      <c r="C37" s="76"/>
      <c r="D37" s="77">
        <v>476</v>
      </c>
      <c r="E37" s="77">
        <v>344.7</v>
      </c>
      <c r="F37" s="77">
        <v>333.9</v>
      </c>
      <c r="G37" s="77">
        <v>288.5</v>
      </c>
      <c r="H37" s="159"/>
      <c r="I37" s="155"/>
      <c r="J37" s="155"/>
      <c r="K37" s="155"/>
      <c r="L37" s="155"/>
      <c r="M37" s="155"/>
    </row>
    <row r="38" spans="1:13" ht="15" x14ac:dyDescent="0.35">
      <c r="A38" s="134" t="s">
        <v>154</v>
      </c>
      <c r="B38" s="72" t="s">
        <v>83</v>
      </c>
      <c r="C38" s="73"/>
      <c r="D38" s="74">
        <v>224.6</v>
      </c>
      <c r="E38" s="74">
        <v>270.60000000000002</v>
      </c>
      <c r="F38" s="74">
        <v>294.60000000000002</v>
      </c>
      <c r="G38" s="74">
        <v>232.6</v>
      </c>
      <c r="H38" s="159"/>
      <c r="I38" s="155"/>
      <c r="J38" s="155"/>
      <c r="K38" s="155"/>
      <c r="L38" s="155"/>
      <c r="M38" s="155"/>
    </row>
    <row r="39" spans="1:13" ht="15" x14ac:dyDescent="0.35">
      <c r="A39" s="134" t="s">
        <v>154</v>
      </c>
      <c r="B39" s="75" t="s">
        <v>84</v>
      </c>
      <c r="C39" s="76"/>
      <c r="D39" s="77">
        <v>453.5</v>
      </c>
      <c r="E39" s="77">
        <v>461.6</v>
      </c>
      <c r="F39" s="77">
        <v>353</v>
      </c>
      <c r="G39" s="77">
        <v>328.3</v>
      </c>
      <c r="H39" s="159"/>
      <c r="I39" s="155"/>
      <c r="J39" s="155"/>
      <c r="K39" s="155"/>
      <c r="L39" s="155"/>
      <c r="M39" s="155"/>
    </row>
    <row r="40" spans="1:13" ht="15" x14ac:dyDescent="0.35">
      <c r="A40" s="134" t="s">
        <v>156</v>
      </c>
      <c r="B40" s="72" t="s">
        <v>85</v>
      </c>
      <c r="C40" s="73"/>
      <c r="D40" s="74">
        <v>6.6</v>
      </c>
      <c r="E40" s="74"/>
      <c r="F40" s="74"/>
      <c r="G40" s="74">
        <v>4.7</v>
      </c>
      <c r="H40" s="159"/>
      <c r="I40" s="155"/>
      <c r="J40" s="155"/>
      <c r="K40" s="155"/>
      <c r="L40" s="155"/>
      <c r="M40" s="155"/>
    </row>
    <row r="41" spans="1:13" ht="15" x14ac:dyDescent="0.35">
      <c r="A41" s="117" t="s">
        <v>155</v>
      </c>
      <c r="B41" s="75" t="s">
        <v>86</v>
      </c>
      <c r="C41" s="76"/>
      <c r="D41" s="77"/>
      <c r="E41" s="77"/>
      <c r="F41" s="77">
        <v>0.4</v>
      </c>
      <c r="G41" s="77">
        <v>1.5</v>
      </c>
      <c r="H41" s="159"/>
      <c r="I41" s="155"/>
      <c r="J41" s="155"/>
      <c r="K41" s="155"/>
      <c r="L41" s="155"/>
      <c r="M41" s="155"/>
    </row>
    <row r="42" spans="1:13" ht="15" x14ac:dyDescent="0.35">
      <c r="A42" s="117" t="s">
        <v>156</v>
      </c>
      <c r="B42" s="72" t="s">
        <v>87</v>
      </c>
      <c r="C42" s="73"/>
      <c r="D42" s="78">
        <v>544.20000000000005</v>
      </c>
      <c r="E42" s="78">
        <v>541.29999999999995</v>
      </c>
      <c r="F42" s="78">
        <v>431.7</v>
      </c>
      <c r="G42" s="78">
        <v>468.6</v>
      </c>
      <c r="H42" s="159"/>
      <c r="I42" s="155"/>
      <c r="J42" s="155"/>
      <c r="K42" s="155"/>
      <c r="L42" s="155"/>
      <c r="M42" s="155"/>
    </row>
    <row r="43" spans="1:13" ht="15" x14ac:dyDescent="0.35">
      <c r="A43" s="119"/>
      <c r="B43" s="79" t="s">
        <v>88</v>
      </c>
      <c r="C43" s="76"/>
      <c r="D43" s="80">
        <f t="shared" ref="D43:E43" si="5">SUM(D37:D42)</f>
        <v>1704.8999999999999</v>
      </c>
      <c r="E43" s="80">
        <f t="shared" si="5"/>
        <v>1618.2</v>
      </c>
      <c r="F43" s="80">
        <f>SUM(F37:F42)</f>
        <v>1413.6</v>
      </c>
      <c r="G43" s="80">
        <f>SUM(G37:G42)</f>
        <v>1324.2000000000003</v>
      </c>
      <c r="H43" s="159"/>
      <c r="I43" s="155"/>
      <c r="J43" s="155"/>
      <c r="K43" s="155"/>
      <c r="L43" s="155"/>
      <c r="M43" s="155"/>
    </row>
    <row r="44" spans="1:13" ht="15" x14ac:dyDescent="0.35">
      <c r="A44" s="119"/>
      <c r="B44" s="69" t="s">
        <v>89</v>
      </c>
      <c r="C44" s="73"/>
      <c r="D44" s="78">
        <f t="shared" ref="D44:F44" si="6">D36+D43</f>
        <v>2130.6</v>
      </c>
      <c r="E44" s="78">
        <f t="shared" si="6"/>
        <v>2030.2</v>
      </c>
      <c r="F44" s="78">
        <f t="shared" si="6"/>
        <v>1794.3999999999999</v>
      </c>
      <c r="G44" s="78">
        <f>G36+G43</f>
        <v>1707.6000000000004</v>
      </c>
      <c r="H44" s="159"/>
      <c r="I44" s="155"/>
      <c r="J44" s="155"/>
      <c r="K44" s="155"/>
      <c r="L44" s="155"/>
      <c r="M44" s="155"/>
    </row>
    <row r="45" spans="1:13" ht="15" x14ac:dyDescent="0.35">
      <c r="A45" s="119"/>
      <c r="B45" s="79" t="s">
        <v>90</v>
      </c>
      <c r="C45" s="76"/>
      <c r="D45" s="77"/>
      <c r="E45" s="77"/>
      <c r="F45" s="77"/>
      <c r="G45" s="77"/>
      <c r="H45" s="159"/>
      <c r="I45" s="155"/>
      <c r="J45" s="155"/>
      <c r="K45" s="155"/>
      <c r="L45" s="155"/>
      <c r="M45" s="155"/>
    </row>
    <row r="46" spans="1:13" ht="15" x14ac:dyDescent="0.35">
      <c r="A46" s="134" t="s">
        <v>154</v>
      </c>
      <c r="B46" s="72" t="s">
        <v>91</v>
      </c>
      <c r="C46" s="73"/>
      <c r="D46" s="74">
        <v>-110.4</v>
      </c>
      <c r="E46" s="74">
        <v>-95.8</v>
      </c>
      <c r="F46" s="74">
        <v>-74.2</v>
      </c>
      <c r="G46" s="74">
        <v>-78.5</v>
      </c>
      <c r="H46" s="159"/>
      <c r="I46" s="155"/>
      <c r="J46" s="155"/>
      <c r="K46" s="155"/>
      <c r="L46" s="155"/>
      <c r="M46" s="155"/>
    </row>
    <row r="47" spans="1:13" ht="15" x14ac:dyDescent="0.35">
      <c r="A47" s="134" t="s">
        <v>154</v>
      </c>
      <c r="B47" s="75" t="s">
        <v>92</v>
      </c>
      <c r="C47" s="76"/>
      <c r="D47" s="77">
        <v>-1130.3</v>
      </c>
      <c r="E47" s="77">
        <v>-1087</v>
      </c>
      <c r="F47" s="77">
        <v>-963.2</v>
      </c>
      <c r="G47" s="77">
        <v>-891.4</v>
      </c>
      <c r="H47" s="159"/>
      <c r="I47" s="155"/>
      <c r="J47" s="155"/>
      <c r="K47" s="155"/>
      <c r="L47" s="155"/>
      <c r="M47" s="155"/>
    </row>
    <row r="48" spans="1:13" ht="15" x14ac:dyDescent="0.35">
      <c r="A48" s="117" t="s">
        <v>156</v>
      </c>
      <c r="B48" s="72" t="s">
        <v>93</v>
      </c>
      <c r="C48" s="73"/>
      <c r="D48" s="74"/>
      <c r="E48" s="74">
        <v>-1.9</v>
      </c>
      <c r="F48" s="74">
        <v>-5.6</v>
      </c>
      <c r="G48" s="74"/>
      <c r="H48" s="159"/>
      <c r="I48" s="155"/>
      <c r="J48" s="155"/>
      <c r="K48" s="155"/>
      <c r="L48" s="155"/>
      <c r="M48" s="155"/>
    </row>
    <row r="49" spans="1:13" ht="15" x14ac:dyDescent="0.35">
      <c r="A49" s="134" t="s">
        <v>156</v>
      </c>
      <c r="B49" s="75" t="s">
        <v>94</v>
      </c>
      <c r="C49" s="76"/>
      <c r="D49" s="77">
        <v>-22.6</v>
      </c>
      <c r="E49" s="77">
        <v>-19.100000000000001</v>
      </c>
      <c r="F49" s="77">
        <v>-16</v>
      </c>
      <c r="G49" s="77">
        <v>-13.4</v>
      </c>
      <c r="H49" s="159"/>
      <c r="I49" s="155"/>
      <c r="J49" s="155"/>
      <c r="K49" s="155"/>
      <c r="L49" s="155"/>
      <c r="M49" s="155"/>
    </row>
    <row r="50" spans="1:13" ht="15" x14ac:dyDescent="0.35">
      <c r="A50" s="117" t="s">
        <v>155</v>
      </c>
      <c r="B50" s="72" t="s">
        <v>95</v>
      </c>
      <c r="C50" s="73"/>
      <c r="D50" s="74">
        <v>-51.8</v>
      </c>
      <c r="E50" s="74">
        <v>-80.599999999999994</v>
      </c>
      <c r="F50" s="74">
        <v>-77.099999999999994</v>
      </c>
      <c r="G50" s="74">
        <v>-110.2</v>
      </c>
      <c r="H50" s="159"/>
      <c r="I50" s="155"/>
      <c r="J50" s="155"/>
      <c r="K50" s="155"/>
      <c r="L50" s="155"/>
      <c r="M50" s="155"/>
    </row>
    <row r="51" spans="1:13" ht="15" x14ac:dyDescent="0.35">
      <c r="A51" s="117" t="s">
        <v>154</v>
      </c>
      <c r="B51" s="75" t="s">
        <v>96</v>
      </c>
      <c r="C51" s="76"/>
      <c r="D51" s="77">
        <v>-85.1</v>
      </c>
      <c r="E51" s="77">
        <v>-76.7</v>
      </c>
      <c r="F51" s="77">
        <v>-55.1</v>
      </c>
      <c r="G51" s="77">
        <v>-33.4</v>
      </c>
      <c r="H51" s="159"/>
      <c r="I51" s="155"/>
      <c r="J51" s="155"/>
      <c r="K51" s="155"/>
      <c r="L51" s="155"/>
      <c r="M51" s="155"/>
    </row>
    <row r="52" spans="1:13" ht="15" x14ac:dyDescent="0.35">
      <c r="A52" s="119"/>
      <c r="B52" s="69" t="s">
        <v>97</v>
      </c>
      <c r="C52" s="73"/>
      <c r="D52" s="92">
        <f t="shared" ref="D52:F52" si="7">SUM(D46:D51)</f>
        <v>-1400.1999999999998</v>
      </c>
      <c r="E52" s="92">
        <f t="shared" si="7"/>
        <v>-1361.1</v>
      </c>
      <c r="F52" s="92">
        <f t="shared" si="7"/>
        <v>-1191.1999999999998</v>
      </c>
      <c r="G52" s="92">
        <f>SUM(G46:G51)</f>
        <v>-1126.9000000000001</v>
      </c>
      <c r="H52" s="159"/>
      <c r="I52" s="155"/>
      <c r="J52" s="155"/>
      <c r="K52" s="155"/>
      <c r="L52" s="155"/>
      <c r="M52" s="155"/>
    </row>
    <row r="53" spans="1:13" ht="15" x14ac:dyDescent="0.35">
      <c r="A53" s="119"/>
      <c r="B53" s="79" t="s">
        <v>98</v>
      </c>
      <c r="C53" s="76"/>
      <c r="D53" s="80">
        <f t="shared" ref="D53:F53" si="8">D43+D52</f>
        <v>304.70000000000005</v>
      </c>
      <c r="E53" s="80">
        <f t="shared" si="8"/>
        <v>257.10000000000014</v>
      </c>
      <c r="F53" s="80">
        <f t="shared" si="8"/>
        <v>222.40000000000009</v>
      </c>
      <c r="G53" s="80">
        <f>G43+G52</f>
        <v>197.30000000000018</v>
      </c>
      <c r="H53" s="159"/>
      <c r="I53" s="155"/>
      <c r="J53" s="155"/>
      <c r="K53" s="155"/>
      <c r="L53" s="155"/>
      <c r="M53" s="155"/>
    </row>
    <row r="54" spans="1:13" ht="15" x14ac:dyDescent="0.35">
      <c r="A54" s="134" t="s">
        <v>154</v>
      </c>
      <c r="B54" s="72" t="s">
        <v>92</v>
      </c>
      <c r="C54" s="73"/>
      <c r="D54" s="74">
        <v>-16.600000000000001</v>
      </c>
      <c r="E54" s="74">
        <v>-28.2</v>
      </c>
      <c r="F54" s="74">
        <v>-37.299999999999997</v>
      </c>
      <c r="G54" s="74">
        <v>-32.6</v>
      </c>
      <c r="H54" s="159"/>
      <c r="I54" s="155"/>
      <c r="J54" s="155"/>
      <c r="K54" s="155"/>
      <c r="L54" s="155"/>
      <c r="M54" s="155"/>
    </row>
    <row r="55" spans="1:13" ht="15" x14ac:dyDescent="0.35">
      <c r="A55" s="117" t="s">
        <v>156</v>
      </c>
      <c r="B55" s="75" t="s">
        <v>94</v>
      </c>
      <c r="C55" s="76"/>
      <c r="D55" s="77">
        <v>-44.1</v>
      </c>
      <c r="E55" s="77">
        <v>-44.7</v>
      </c>
      <c r="F55" s="77">
        <v>-40.9</v>
      </c>
      <c r="G55" s="77">
        <v>-39.4</v>
      </c>
      <c r="H55" s="159"/>
      <c r="I55" s="155"/>
      <c r="J55" s="155"/>
      <c r="K55" s="155"/>
      <c r="L55" s="155"/>
      <c r="M55" s="155"/>
    </row>
    <row r="56" spans="1:13" ht="15" x14ac:dyDescent="0.35">
      <c r="A56" s="117" t="s">
        <v>155</v>
      </c>
      <c r="B56" s="72" t="s">
        <v>95</v>
      </c>
      <c r="C56" s="73"/>
      <c r="D56" s="74">
        <v>-51.8</v>
      </c>
      <c r="E56" s="74">
        <v>-80.599999999999994</v>
      </c>
      <c r="F56" s="149">
        <v>-77.099999999999994</v>
      </c>
      <c r="G56" s="149">
        <v>-110.2</v>
      </c>
      <c r="H56" s="159"/>
      <c r="I56" s="155"/>
      <c r="J56" s="155"/>
      <c r="K56" s="155"/>
      <c r="L56" s="155"/>
      <c r="M56" s="155"/>
    </row>
    <row r="57" spans="1:13" ht="15" x14ac:dyDescent="0.35">
      <c r="A57" s="134" t="s">
        <v>154</v>
      </c>
      <c r="B57" s="75" t="s">
        <v>99</v>
      </c>
      <c r="C57" s="76"/>
      <c r="D57" s="77"/>
      <c r="E57" s="77"/>
      <c r="F57" s="77">
        <v>-0.2</v>
      </c>
      <c r="G57" s="77">
        <v>-0.2</v>
      </c>
      <c r="H57" s="159"/>
      <c r="I57" s="155"/>
      <c r="J57" s="155"/>
      <c r="K57" s="155"/>
      <c r="L57" s="155"/>
      <c r="M57" s="155"/>
    </row>
    <row r="58" spans="1:13" ht="15" x14ac:dyDescent="0.35">
      <c r="A58" s="117" t="s">
        <v>156</v>
      </c>
      <c r="B58" s="72" t="s">
        <v>100</v>
      </c>
      <c r="C58" s="73"/>
      <c r="D58" s="74">
        <v>-2.1</v>
      </c>
      <c r="E58" s="74">
        <v>-8.6999999999999993</v>
      </c>
      <c r="F58" s="74">
        <v>-6.8</v>
      </c>
      <c r="G58" s="74">
        <v>-10</v>
      </c>
      <c r="H58" s="159"/>
      <c r="I58" s="155"/>
      <c r="J58" s="155"/>
      <c r="K58" s="155"/>
      <c r="L58" s="155"/>
      <c r="M58" s="155"/>
    </row>
    <row r="59" spans="1:13" ht="15" x14ac:dyDescent="0.35">
      <c r="A59" s="134" t="s">
        <v>154</v>
      </c>
      <c r="B59" s="75" t="s">
        <v>96</v>
      </c>
      <c r="C59" s="76"/>
      <c r="D59" s="77">
        <v>-20.399999999999999</v>
      </c>
      <c r="E59" s="77">
        <v>-19.399999999999999</v>
      </c>
      <c r="F59" s="77">
        <v>-21.8</v>
      </c>
      <c r="G59" s="77">
        <v>-23.9</v>
      </c>
      <c r="H59" s="159"/>
      <c r="I59" s="155"/>
      <c r="J59" s="155"/>
      <c r="K59" s="155"/>
      <c r="L59" s="155"/>
      <c r="M59" s="155"/>
    </row>
    <row r="60" spans="1:13" ht="15" x14ac:dyDescent="0.35">
      <c r="A60" s="117"/>
      <c r="B60" s="69" t="s">
        <v>101</v>
      </c>
      <c r="C60" s="73"/>
      <c r="D60" s="78">
        <v>-83.2</v>
      </c>
      <c r="E60" s="78">
        <f t="shared" ref="E60:F60" si="9">SUM(E54:E59)</f>
        <v>-181.6</v>
      </c>
      <c r="F60" s="78">
        <f t="shared" si="9"/>
        <v>-184.1</v>
      </c>
      <c r="G60" s="78">
        <f>SUM(G54:G59)</f>
        <v>-216.29999999999998</v>
      </c>
      <c r="H60" s="159"/>
      <c r="I60" s="155"/>
      <c r="J60" s="155"/>
      <c r="K60" s="155"/>
      <c r="L60" s="155"/>
      <c r="M60" s="155"/>
    </row>
    <row r="61" spans="1:13" ht="15" x14ac:dyDescent="0.35">
      <c r="A61" s="117"/>
      <c r="B61" s="79" t="s">
        <v>102</v>
      </c>
      <c r="C61" s="76"/>
      <c r="D61" s="81">
        <f t="shared" ref="D61:F61" si="10">D52+D60</f>
        <v>-1483.3999999999999</v>
      </c>
      <c r="E61" s="81">
        <f t="shared" si="10"/>
        <v>-1542.6999999999998</v>
      </c>
      <c r="F61" s="81">
        <f t="shared" si="10"/>
        <v>-1375.2999999999997</v>
      </c>
      <c r="G61" s="81">
        <f>G52+G60</f>
        <v>-1343.2</v>
      </c>
      <c r="H61" s="159"/>
      <c r="I61" s="155"/>
      <c r="J61" s="155"/>
      <c r="K61" s="155"/>
      <c r="L61" s="155"/>
      <c r="M61" s="155"/>
    </row>
    <row r="62" spans="1:13" ht="15" x14ac:dyDescent="0.35">
      <c r="A62" s="117"/>
      <c r="B62" s="93" t="s">
        <v>103</v>
      </c>
      <c r="C62" s="94"/>
      <c r="D62" s="95">
        <f t="shared" ref="D62:F62" si="11">D44+D61</f>
        <v>647.20000000000005</v>
      </c>
      <c r="E62" s="95">
        <f t="shared" si="11"/>
        <v>487.50000000000023</v>
      </c>
      <c r="F62" s="95">
        <f t="shared" si="11"/>
        <v>419.10000000000014</v>
      </c>
      <c r="G62" s="95">
        <f>G44+G61</f>
        <v>364.40000000000032</v>
      </c>
      <c r="H62" s="159"/>
      <c r="I62" s="155"/>
      <c r="J62" s="155"/>
      <c r="K62" s="155"/>
      <c r="L62" s="155"/>
      <c r="M62" s="155"/>
    </row>
    <row r="63" spans="1:13" ht="15" x14ac:dyDescent="0.35">
      <c r="A63" s="117"/>
      <c r="B63" s="79" t="s">
        <v>104</v>
      </c>
      <c r="C63" s="76"/>
      <c r="D63" s="77"/>
      <c r="E63" s="77"/>
      <c r="F63" s="77"/>
      <c r="G63" s="77"/>
      <c r="H63" s="159"/>
      <c r="I63" s="155"/>
      <c r="J63" s="155"/>
      <c r="K63" s="155"/>
      <c r="L63" s="155"/>
      <c r="M63" s="155"/>
    </row>
    <row r="64" spans="1:13" ht="15" x14ac:dyDescent="0.35">
      <c r="A64" s="117"/>
      <c r="B64" s="72" t="s">
        <v>105</v>
      </c>
      <c r="C64" s="73"/>
      <c r="D64" s="74">
        <v>2.4</v>
      </c>
      <c r="E64" s="74">
        <v>2.4</v>
      </c>
      <c r="F64" s="74">
        <v>2.4</v>
      </c>
      <c r="G64" s="74">
        <v>2.2999999999999998</v>
      </c>
      <c r="H64" s="159"/>
      <c r="I64" s="155"/>
      <c r="J64" s="155"/>
      <c r="K64" s="155"/>
      <c r="L64" s="155"/>
      <c r="M64" s="155"/>
    </row>
    <row r="65" spans="1:13" ht="15" x14ac:dyDescent="0.35">
      <c r="A65" s="117"/>
      <c r="B65" s="75" t="s">
        <v>106</v>
      </c>
      <c r="C65" s="76"/>
      <c r="D65" s="77">
        <v>65.7</v>
      </c>
      <c r="E65" s="77">
        <v>56</v>
      </c>
      <c r="F65" s="77">
        <v>55.9</v>
      </c>
      <c r="G65" s="77">
        <v>45.8</v>
      </c>
      <c r="H65" s="159"/>
      <c r="I65" s="155"/>
      <c r="J65" s="155"/>
      <c r="K65" s="155"/>
      <c r="L65" s="155"/>
      <c r="M65" s="155"/>
    </row>
    <row r="66" spans="1:13" ht="15" x14ac:dyDescent="0.35">
      <c r="A66" s="117"/>
      <c r="B66" s="72" t="s">
        <v>107</v>
      </c>
      <c r="C66" s="73"/>
      <c r="D66" s="74">
        <v>0.9</v>
      </c>
      <c r="E66" s="74">
        <v>1.3</v>
      </c>
      <c r="F66" s="74">
        <v>1.1000000000000001</v>
      </c>
      <c r="G66" s="74">
        <v>-1</v>
      </c>
      <c r="H66" s="159"/>
      <c r="I66" s="155"/>
      <c r="J66" s="155"/>
      <c r="K66" s="155"/>
      <c r="L66" s="155"/>
      <c r="M66" s="155"/>
    </row>
    <row r="67" spans="1:13" ht="13.2" customHeight="1" x14ac:dyDescent="0.35">
      <c r="A67" s="117"/>
      <c r="B67" s="75" t="s">
        <v>108</v>
      </c>
      <c r="C67" s="76"/>
      <c r="D67" s="77">
        <v>578.20000000000005</v>
      </c>
      <c r="E67" s="77">
        <v>508.4</v>
      </c>
      <c r="F67" s="77">
        <v>436.8</v>
      </c>
      <c r="G67" s="77">
        <v>427.1</v>
      </c>
      <c r="H67" s="159"/>
      <c r="I67" s="155"/>
      <c r="J67" s="155"/>
      <c r="K67" s="155"/>
      <c r="L67" s="155"/>
      <c r="M67" s="155"/>
    </row>
    <row r="68" spans="1:13" ht="15" x14ac:dyDescent="0.35">
      <c r="A68" s="117"/>
      <c r="B68" s="69" t="s">
        <v>109</v>
      </c>
      <c r="C68" s="73"/>
      <c r="D68" s="78">
        <f t="shared" ref="D68:F68" si="12">SUM(D64:D67)</f>
        <v>647.20000000000005</v>
      </c>
      <c r="E68" s="78">
        <f t="shared" si="12"/>
        <v>568.1</v>
      </c>
      <c r="F68" s="78">
        <f t="shared" si="12"/>
        <v>496.2</v>
      </c>
      <c r="G68" s="78">
        <f>SUM(G64:G67)</f>
        <v>474.20000000000005</v>
      </c>
      <c r="H68" s="159"/>
      <c r="I68" s="155"/>
      <c r="J68" s="155"/>
      <c r="K68" s="155"/>
      <c r="L68" s="155"/>
      <c r="M68" s="155"/>
    </row>
    <row r="69" spans="1:13" ht="15" x14ac:dyDescent="0.35">
      <c r="A69" s="117"/>
      <c r="B69" s="93" t="s">
        <v>110</v>
      </c>
      <c r="C69" s="94"/>
      <c r="D69" s="96">
        <f>SUM(D64:D67)</f>
        <v>647.20000000000005</v>
      </c>
      <c r="E69" s="96">
        <f t="shared" ref="E69:G69" si="13">SUM(E64:E67)</f>
        <v>568.1</v>
      </c>
      <c r="F69" s="96">
        <f t="shared" si="13"/>
        <v>496.2</v>
      </c>
      <c r="G69" s="96">
        <f t="shared" si="13"/>
        <v>474.20000000000005</v>
      </c>
      <c r="H69" s="159"/>
      <c r="I69" s="155"/>
      <c r="J69" s="155"/>
      <c r="K69" s="155"/>
      <c r="L69" s="155"/>
      <c r="M69" s="155"/>
    </row>
    <row r="70" spans="1:13" ht="15" x14ac:dyDescent="0.35">
      <c r="A70" s="117"/>
      <c r="B70" s="72"/>
      <c r="C70" s="73"/>
      <c r="D70" s="74"/>
      <c r="E70" s="74"/>
      <c r="F70" s="74"/>
      <c r="G70" s="74"/>
      <c r="H70" s="159"/>
      <c r="I70" s="155"/>
      <c r="J70" s="155"/>
      <c r="K70" s="155"/>
      <c r="L70" s="155"/>
      <c r="M70" s="155"/>
    </row>
    <row r="71" spans="1:13" ht="15" x14ac:dyDescent="0.35">
      <c r="A71" s="117"/>
      <c r="B71" s="75"/>
      <c r="C71" s="76"/>
      <c r="D71" s="77"/>
      <c r="E71" s="77"/>
      <c r="F71" s="77"/>
      <c r="G71" s="77"/>
      <c r="H71" s="159"/>
      <c r="I71" s="155"/>
      <c r="J71" s="155"/>
      <c r="K71" s="155"/>
      <c r="L71" s="155"/>
      <c r="M71" s="155"/>
    </row>
    <row r="72" spans="1:13" ht="14.4" x14ac:dyDescent="0.35">
      <c r="A72" s="117"/>
      <c r="B72" s="82"/>
      <c r="C72" s="82"/>
      <c r="D72" s="6"/>
      <c r="E72" s="6"/>
      <c r="F72" s="6"/>
      <c r="G72" s="82"/>
      <c r="H72" s="159"/>
      <c r="I72" s="155"/>
      <c r="J72" s="155"/>
      <c r="K72" s="155"/>
      <c r="L72" s="155"/>
      <c r="M72" s="155"/>
    </row>
    <row r="73" spans="1:13" ht="16.8" x14ac:dyDescent="0.35">
      <c r="A73" s="117"/>
      <c r="B73" s="173" t="str">
        <f>+B2</f>
        <v>Morgan Sindall Group</v>
      </c>
      <c r="C73" s="173"/>
      <c r="D73" s="174"/>
      <c r="E73" s="174"/>
      <c r="F73" s="174"/>
      <c r="G73" s="174"/>
      <c r="H73" s="159"/>
      <c r="I73" s="155"/>
      <c r="J73" s="155"/>
      <c r="K73" s="155"/>
      <c r="L73" s="155"/>
      <c r="M73" s="155"/>
    </row>
    <row r="74" spans="1:13" ht="16.8" x14ac:dyDescent="0.35">
      <c r="A74" s="117"/>
      <c r="B74" s="175" t="s">
        <v>43</v>
      </c>
      <c r="C74" s="175"/>
      <c r="D74" s="176"/>
      <c r="E74" s="176"/>
      <c r="F74" s="176"/>
      <c r="G74" s="176"/>
      <c r="H74" s="159"/>
      <c r="I74" s="155"/>
      <c r="J74" s="155"/>
      <c r="K74" s="155"/>
      <c r="L74" s="155"/>
      <c r="M74" s="155"/>
    </row>
    <row r="75" spans="1:13" ht="15.6" thickBot="1" x14ac:dyDescent="0.4">
      <c r="A75" s="117"/>
      <c r="B75" s="171" t="str">
        <f>+B4</f>
        <v>As at years ended 31st December</v>
      </c>
      <c r="C75" s="171"/>
      <c r="D75" s="172"/>
      <c r="E75" s="172"/>
      <c r="F75" s="172"/>
      <c r="G75" s="172"/>
      <c r="H75" s="159"/>
      <c r="I75" s="155"/>
      <c r="J75" s="155"/>
      <c r="K75" s="155"/>
      <c r="L75" s="155"/>
      <c r="M75" s="155"/>
    </row>
    <row r="76" spans="1:13" ht="14.4" x14ac:dyDescent="0.35">
      <c r="A76" s="117"/>
      <c r="B76" s="82"/>
      <c r="C76" s="82"/>
      <c r="D76" s="83">
        <f>D5</f>
        <v>2024</v>
      </c>
      <c r="E76" s="83">
        <f>E5</f>
        <v>2023</v>
      </c>
      <c r="F76" s="83">
        <f>F5</f>
        <v>2022</v>
      </c>
      <c r="G76" s="83">
        <f>G5</f>
        <v>2021</v>
      </c>
      <c r="H76" s="159"/>
      <c r="I76" s="155"/>
      <c r="J76" s="155"/>
      <c r="K76" s="155"/>
      <c r="L76" s="155"/>
      <c r="M76" s="155"/>
    </row>
    <row r="77" spans="1:13" ht="15" thickBot="1" x14ac:dyDescent="0.4">
      <c r="A77" s="134" t="s">
        <v>154</v>
      </c>
      <c r="B77" s="84" t="s">
        <v>111</v>
      </c>
      <c r="C77" s="82"/>
      <c r="D77" s="85">
        <v>4546.2</v>
      </c>
      <c r="E77" s="85">
        <v>4117.7</v>
      </c>
      <c r="F77" s="85">
        <v>3612.2</v>
      </c>
      <c r="G77" s="85">
        <v>3212.8</v>
      </c>
      <c r="H77" s="159"/>
      <c r="I77" s="155"/>
      <c r="J77" s="155"/>
      <c r="K77" s="155"/>
      <c r="L77" s="155"/>
      <c r="M77" s="155"/>
    </row>
    <row r="78" spans="1:13" ht="15" x14ac:dyDescent="0.35">
      <c r="A78" s="134" t="s">
        <v>154</v>
      </c>
      <c r="B78" s="75" t="s">
        <v>112</v>
      </c>
      <c r="C78" s="76"/>
      <c r="D78" s="77">
        <v>-4016.3</v>
      </c>
      <c r="E78" s="77">
        <v>-3670.1</v>
      </c>
      <c r="F78" s="77">
        <v>-3241.3</v>
      </c>
      <c r="G78" s="77">
        <v>-2830</v>
      </c>
      <c r="H78" s="159"/>
      <c r="I78" s="155"/>
      <c r="J78" s="155"/>
      <c r="K78" s="155"/>
      <c r="L78" s="155"/>
      <c r="M78" s="155"/>
    </row>
    <row r="79" spans="1:13" ht="15" x14ac:dyDescent="0.35">
      <c r="A79" s="117"/>
      <c r="B79" s="69" t="s">
        <v>113</v>
      </c>
      <c r="C79" s="73"/>
      <c r="D79" s="74">
        <f t="shared" ref="D79:F79" si="14">D77+D78</f>
        <v>529.89999999999964</v>
      </c>
      <c r="E79" s="74">
        <f t="shared" si="14"/>
        <v>447.59999999999991</v>
      </c>
      <c r="F79" s="74">
        <f t="shared" si="14"/>
        <v>370.89999999999964</v>
      </c>
      <c r="G79" s="74">
        <f>G77+G78</f>
        <v>382.80000000000018</v>
      </c>
      <c r="H79" s="159"/>
      <c r="I79" s="155"/>
      <c r="J79" s="155"/>
      <c r="K79" s="155"/>
      <c r="L79" s="155"/>
      <c r="M79" s="155"/>
    </row>
    <row r="80" spans="1:13" ht="14.4" customHeight="1" x14ac:dyDescent="0.35">
      <c r="A80" s="117"/>
      <c r="B80" s="79" t="s">
        <v>114</v>
      </c>
      <c r="C80" s="76"/>
      <c r="D80" s="77"/>
      <c r="E80" s="77"/>
      <c r="F80" s="77"/>
      <c r="G80" s="77"/>
      <c r="H80" s="159"/>
      <c r="I80" s="155"/>
      <c r="J80" s="155"/>
      <c r="K80" s="155"/>
      <c r="L80" s="155"/>
      <c r="M80" s="155"/>
    </row>
    <row r="81" spans="1:13" s="126" customFormat="1" ht="15" hidden="1" x14ac:dyDescent="0.35">
      <c r="A81" s="122" t="s">
        <v>154</v>
      </c>
      <c r="B81" s="123" t="s">
        <v>115</v>
      </c>
      <c r="C81" s="124"/>
      <c r="D81" s="125">
        <v>528.6</v>
      </c>
      <c r="E81" s="125">
        <v>449.5</v>
      </c>
      <c r="F81" s="125">
        <v>410</v>
      </c>
      <c r="G81" s="125">
        <v>382.8</v>
      </c>
      <c r="H81" s="159"/>
      <c r="I81" s="155"/>
      <c r="J81" s="155"/>
      <c r="K81" s="155"/>
      <c r="L81" s="155"/>
      <c r="M81" s="155"/>
    </row>
    <row r="82" spans="1:13" s="126" customFormat="1" ht="14.4" hidden="1" customHeight="1" x14ac:dyDescent="0.35">
      <c r="A82" s="122" t="s">
        <v>155</v>
      </c>
      <c r="B82" s="127" t="s">
        <v>116</v>
      </c>
      <c r="C82" s="128"/>
      <c r="D82" s="129">
        <v>1.3</v>
      </c>
      <c r="E82" s="129">
        <v>-1.9</v>
      </c>
      <c r="F82" s="129">
        <v>-39.1</v>
      </c>
      <c r="G82" s="129"/>
      <c r="H82" s="159"/>
      <c r="I82" s="155"/>
      <c r="J82" s="155"/>
      <c r="K82" s="155"/>
      <c r="L82" s="155"/>
      <c r="M82" s="155"/>
    </row>
    <row r="83" spans="1:13" ht="14.4" customHeight="1" x14ac:dyDescent="0.35">
      <c r="A83" s="117" t="s">
        <v>154</v>
      </c>
      <c r="B83" s="72" t="s">
        <v>137</v>
      </c>
      <c r="C83" s="73"/>
      <c r="D83" s="74">
        <v>-21</v>
      </c>
      <c r="E83" s="74">
        <v>-2.8</v>
      </c>
      <c r="F83" s="74"/>
      <c r="G83" s="74"/>
      <c r="H83" s="159"/>
      <c r="I83" s="155"/>
      <c r="J83" s="155"/>
      <c r="K83" s="155"/>
      <c r="L83" s="155"/>
      <c r="M83" s="155"/>
    </row>
    <row r="84" spans="1:13" ht="15" x14ac:dyDescent="0.35">
      <c r="A84" s="134" t="s">
        <v>154</v>
      </c>
      <c r="B84" s="75" t="s">
        <v>117</v>
      </c>
      <c r="C84" s="76"/>
      <c r="D84" s="77">
        <v>-360</v>
      </c>
      <c r="E84" s="77">
        <v>-324</v>
      </c>
      <c r="F84" s="77">
        <v>-287.60000000000002</v>
      </c>
      <c r="G84" s="77">
        <v>-259.8</v>
      </c>
      <c r="H84" s="159"/>
      <c r="I84" s="155"/>
      <c r="J84" s="155"/>
      <c r="K84" s="155"/>
      <c r="L84" s="155"/>
      <c r="M84" s="155"/>
    </row>
    <row r="85" spans="1:13" ht="15" x14ac:dyDescent="0.35">
      <c r="A85" s="134" t="s">
        <v>154</v>
      </c>
      <c r="B85" s="72" t="s">
        <v>118</v>
      </c>
      <c r="C85" s="73"/>
      <c r="D85" s="74">
        <v>3.2</v>
      </c>
      <c r="E85" s="74">
        <v>18.2</v>
      </c>
      <c r="F85" s="74">
        <v>4.5</v>
      </c>
      <c r="G85" s="74">
        <v>5.4</v>
      </c>
      <c r="H85" s="159"/>
      <c r="I85" s="155"/>
      <c r="J85" s="155"/>
      <c r="K85" s="155"/>
      <c r="L85" s="155"/>
      <c r="M85" s="155"/>
    </row>
    <row r="86" spans="1:13" ht="15" x14ac:dyDescent="0.35">
      <c r="A86" s="134" t="s">
        <v>154</v>
      </c>
      <c r="B86" s="135" t="s">
        <v>119</v>
      </c>
      <c r="C86" s="94"/>
      <c r="D86" s="95">
        <v>9.9</v>
      </c>
      <c r="E86" s="95">
        <v>1.6</v>
      </c>
      <c r="F86" s="95">
        <v>0.5</v>
      </c>
      <c r="G86" s="95">
        <v>1.4</v>
      </c>
      <c r="H86" s="159"/>
      <c r="I86" s="155"/>
      <c r="J86" s="155"/>
      <c r="K86" s="155"/>
      <c r="L86" s="155"/>
      <c r="M86" s="155"/>
    </row>
    <row r="87" spans="1:13" ht="15" x14ac:dyDescent="0.35">
      <c r="A87" s="117"/>
      <c r="B87" s="69" t="s">
        <v>120</v>
      </c>
      <c r="C87" s="73"/>
      <c r="D87" s="74">
        <f>D81+SUM(D82:D86)</f>
        <v>162</v>
      </c>
      <c r="E87" s="74">
        <f>E81+SUM(E82:E86)</f>
        <v>140.60000000000002</v>
      </c>
      <c r="F87" s="74">
        <f>F81+SUM(F82:F86)</f>
        <v>88.299999999999955</v>
      </c>
      <c r="G87" s="74">
        <f>G81+G84+G85+G86</f>
        <v>129.80000000000001</v>
      </c>
      <c r="H87" s="159"/>
      <c r="I87" s="155"/>
      <c r="J87" s="155"/>
      <c r="K87" s="155"/>
      <c r="L87" s="155"/>
      <c r="M87" s="155"/>
    </row>
    <row r="88" spans="1:13" s="126" customFormat="1" ht="15" hidden="1" x14ac:dyDescent="0.35">
      <c r="A88" s="122"/>
      <c r="B88" s="123" t="s">
        <v>114</v>
      </c>
      <c r="C88" s="124"/>
      <c r="D88" s="125"/>
      <c r="E88" s="125"/>
      <c r="F88" s="125"/>
      <c r="G88" s="125"/>
      <c r="H88" s="159"/>
      <c r="I88" s="155"/>
      <c r="J88" s="155"/>
      <c r="K88" s="155"/>
      <c r="L88" s="155"/>
      <c r="M88" s="155"/>
    </row>
    <row r="89" spans="1:13" s="126" customFormat="1" ht="15" hidden="1" x14ac:dyDescent="0.35">
      <c r="A89" s="122" t="s">
        <v>154</v>
      </c>
      <c r="B89" s="123" t="s">
        <v>121</v>
      </c>
      <c r="C89" s="124"/>
      <c r="D89" s="125">
        <v>162.6</v>
      </c>
      <c r="E89" s="125">
        <v>141.30000000000001</v>
      </c>
      <c r="F89" s="125">
        <v>139.19999999999999</v>
      </c>
      <c r="G89" s="125">
        <v>131.30000000000001</v>
      </c>
      <c r="H89" s="159"/>
      <c r="I89" s="155"/>
      <c r="J89" s="155"/>
      <c r="K89" s="155"/>
      <c r="L89" s="155"/>
      <c r="M89" s="155"/>
    </row>
    <row r="90" spans="1:13" s="126" customFormat="1" ht="15" hidden="1" x14ac:dyDescent="0.35">
      <c r="A90" s="122" t="s">
        <v>154</v>
      </c>
      <c r="B90" s="123" t="s">
        <v>116</v>
      </c>
      <c r="C90" s="124"/>
      <c r="D90" s="125">
        <v>-0.1</v>
      </c>
      <c r="E90" s="125">
        <v>2.2000000000000002</v>
      </c>
      <c r="F90" s="125">
        <v>-48.9</v>
      </c>
      <c r="G90" s="125"/>
      <c r="H90" s="159"/>
      <c r="I90" s="155"/>
      <c r="J90" s="155"/>
      <c r="K90" s="155"/>
      <c r="L90" s="155"/>
      <c r="M90" s="155"/>
    </row>
    <row r="91" spans="1:13" s="126" customFormat="1" ht="15" hidden="1" x14ac:dyDescent="0.35">
      <c r="A91" s="122" t="s">
        <v>154</v>
      </c>
      <c r="B91" s="123" t="s">
        <v>122</v>
      </c>
      <c r="C91" s="124"/>
      <c r="D91" s="125">
        <v>-0.5</v>
      </c>
      <c r="E91" s="125">
        <v>-2.9</v>
      </c>
      <c r="F91" s="125">
        <v>-2</v>
      </c>
      <c r="G91" s="125">
        <v>-1.5</v>
      </c>
      <c r="H91" s="159"/>
      <c r="I91" s="155"/>
      <c r="J91" s="155"/>
      <c r="K91" s="155"/>
      <c r="L91" s="155"/>
      <c r="M91" s="155"/>
    </row>
    <row r="92" spans="1:13" ht="15" x14ac:dyDescent="0.35">
      <c r="A92" s="117" t="s">
        <v>155</v>
      </c>
      <c r="B92" s="75" t="s">
        <v>123</v>
      </c>
      <c r="C92" s="76"/>
      <c r="D92" s="77">
        <v>18.2</v>
      </c>
      <c r="E92" s="77">
        <v>10.8</v>
      </c>
      <c r="F92" s="77">
        <v>2.2999999999999998</v>
      </c>
      <c r="G92" s="77">
        <v>0.6</v>
      </c>
      <c r="H92" s="159"/>
      <c r="I92" s="155"/>
      <c r="J92" s="155"/>
      <c r="K92" s="155"/>
      <c r="L92" s="155"/>
      <c r="M92" s="155"/>
    </row>
    <row r="93" spans="1:13" ht="15" x14ac:dyDescent="0.35">
      <c r="A93" s="117" t="s">
        <v>155</v>
      </c>
      <c r="B93" s="69" t="s">
        <v>124</v>
      </c>
      <c r="C93" s="73"/>
      <c r="D93" s="74">
        <v>-8.3000000000000007</v>
      </c>
      <c r="E93" s="74">
        <v>-7.5</v>
      </c>
      <c r="F93" s="74">
        <v>-5.3</v>
      </c>
      <c r="G93" s="74">
        <v>-4.2</v>
      </c>
      <c r="H93" s="159"/>
      <c r="I93" s="155"/>
      <c r="J93" s="155"/>
      <c r="K93" s="155"/>
      <c r="L93" s="155"/>
      <c r="M93" s="155"/>
    </row>
    <row r="94" spans="1:13" ht="15" x14ac:dyDescent="0.35">
      <c r="A94" s="117"/>
      <c r="B94" s="79" t="s">
        <v>125</v>
      </c>
      <c r="C94" s="76"/>
      <c r="D94" s="77">
        <f t="shared" ref="D94:E94" si="15">D89+SUM(D90:D93)</f>
        <v>171.89999999999998</v>
      </c>
      <c r="E94" s="77">
        <f t="shared" si="15"/>
        <v>143.9</v>
      </c>
      <c r="F94" s="77">
        <f>F89+SUM(F90:F93)</f>
        <v>85.299999999999983</v>
      </c>
      <c r="G94" s="77">
        <f>G89+SUM(G90:G93)</f>
        <v>126.20000000000002</v>
      </c>
      <c r="H94" s="159"/>
      <c r="I94" s="155"/>
      <c r="J94" s="155"/>
      <c r="K94" s="155"/>
      <c r="L94" s="155"/>
      <c r="M94" s="155"/>
    </row>
    <row r="95" spans="1:13" s="126" customFormat="1" ht="15" hidden="1" x14ac:dyDescent="0.35">
      <c r="A95" s="122"/>
      <c r="B95" s="123" t="s">
        <v>114</v>
      </c>
      <c r="C95" s="124"/>
      <c r="D95" s="125"/>
      <c r="E95" s="125"/>
      <c r="F95" s="125"/>
      <c r="G95" s="125"/>
      <c r="H95" s="159"/>
      <c r="I95" s="155"/>
      <c r="J95" s="155"/>
      <c r="K95" s="155"/>
      <c r="L95" s="155"/>
      <c r="M95" s="155"/>
    </row>
    <row r="96" spans="1:13" s="126" customFormat="1" ht="15" hidden="1" x14ac:dyDescent="0.35">
      <c r="A96" s="122" t="s">
        <v>156</v>
      </c>
      <c r="B96" s="127" t="s">
        <v>126</v>
      </c>
      <c r="C96" s="128"/>
      <c r="D96" s="129">
        <v>172.5</v>
      </c>
      <c r="E96" s="129">
        <v>144.6</v>
      </c>
      <c r="F96" s="129">
        <v>136.19999999999999</v>
      </c>
      <c r="G96" s="129">
        <v>127.7</v>
      </c>
      <c r="H96" s="159"/>
      <c r="I96" s="155"/>
      <c r="J96" s="155"/>
      <c r="K96" s="155"/>
      <c r="L96" s="155"/>
      <c r="M96" s="155"/>
    </row>
    <row r="97" spans="1:13" s="126" customFormat="1" ht="15" hidden="1" x14ac:dyDescent="0.35">
      <c r="A97" s="122" t="s">
        <v>154</v>
      </c>
      <c r="B97" s="123" t="s">
        <v>116</v>
      </c>
      <c r="C97" s="124"/>
      <c r="D97" s="125">
        <v>-0.1</v>
      </c>
      <c r="E97" s="125">
        <v>2.2000000000000002</v>
      </c>
      <c r="F97" s="125">
        <v>-48.9</v>
      </c>
      <c r="G97" s="125"/>
      <c r="H97" s="159"/>
      <c r="I97" s="155"/>
      <c r="J97" s="155"/>
      <c r="K97" s="155"/>
      <c r="L97" s="155"/>
      <c r="M97" s="155"/>
    </row>
    <row r="98" spans="1:13" s="126" customFormat="1" ht="15" hidden="1" x14ac:dyDescent="0.35">
      <c r="A98" s="122" t="s">
        <v>154</v>
      </c>
      <c r="B98" s="127" t="s">
        <v>122</v>
      </c>
      <c r="C98" s="124"/>
      <c r="D98" s="129">
        <v>-0.5</v>
      </c>
      <c r="E98" s="129">
        <v>-2.9</v>
      </c>
      <c r="F98" s="129">
        <v>-2</v>
      </c>
      <c r="G98" s="129">
        <v>-1.5</v>
      </c>
      <c r="H98" s="159"/>
      <c r="I98" s="155"/>
      <c r="J98" s="155"/>
      <c r="K98" s="155"/>
      <c r="L98" s="155"/>
      <c r="M98" s="155"/>
    </row>
    <row r="99" spans="1:13" ht="15" x14ac:dyDescent="0.35">
      <c r="A99" s="117" t="s">
        <v>156</v>
      </c>
      <c r="B99" s="69" t="s">
        <v>127</v>
      </c>
      <c r="C99" s="76"/>
      <c r="D99" s="74">
        <v>-40.200000000000003</v>
      </c>
      <c r="E99" s="74">
        <v>-26.2</v>
      </c>
      <c r="F99" s="74">
        <v>-24.4</v>
      </c>
      <c r="G99" s="74">
        <v>-28.3</v>
      </c>
      <c r="H99" s="159"/>
      <c r="I99" s="155"/>
      <c r="J99" s="155"/>
      <c r="K99" s="155"/>
      <c r="L99" s="155"/>
      <c r="M99" s="155"/>
    </row>
    <row r="100" spans="1:13" ht="15" x14ac:dyDescent="0.35">
      <c r="A100" s="117"/>
      <c r="B100" s="75" t="s">
        <v>66</v>
      </c>
      <c r="C100" s="76"/>
      <c r="D100" s="77">
        <f t="shared" ref="D100:E100" si="16">D96+SUM(D97:D99)</f>
        <v>131.69999999999999</v>
      </c>
      <c r="E100" s="77">
        <f t="shared" si="16"/>
        <v>117.69999999999999</v>
      </c>
      <c r="F100" s="77">
        <f>F96+SUM(F97:F99)</f>
        <v>60.899999999999991</v>
      </c>
      <c r="G100" s="77">
        <f>G96+SUM(G97:G99)</f>
        <v>97.9</v>
      </c>
      <c r="H100" s="159"/>
      <c r="I100" s="155"/>
      <c r="J100" s="155"/>
      <c r="K100" s="155"/>
      <c r="L100" s="155"/>
      <c r="M100" s="155"/>
    </row>
    <row r="101" spans="1:13" ht="15" x14ac:dyDescent="0.35">
      <c r="A101" s="120"/>
      <c r="B101" s="69" t="s">
        <v>128</v>
      </c>
      <c r="C101" s="73"/>
      <c r="D101" s="74"/>
      <c r="E101" s="74"/>
      <c r="F101" s="74"/>
      <c r="G101" s="74"/>
      <c r="H101" s="159"/>
      <c r="I101" s="155"/>
      <c r="J101" s="155"/>
      <c r="K101" s="155"/>
      <c r="L101" s="155"/>
      <c r="M101" s="155"/>
    </row>
    <row r="102" spans="1:13" ht="15" x14ac:dyDescent="0.35">
      <c r="A102" s="120"/>
      <c r="B102" s="100" t="s">
        <v>129</v>
      </c>
      <c r="C102" s="101"/>
      <c r="D102" s="101">
        <v>131.69999999999999</v>
      </c>
      <c r="E102" s="101">
        <v>117.7</v>
      </c>
      <c r="F102" s="101">
        <v>60.9</v>
      </c>
      <c r="G102" s="101">
        <v>97.9</v>
      </c>
      <c r="H102" s="159"/>
      <c r="I102" s="155"/>
      <c r="J102" s="155"/>
      <c r="K102" s="155"/>
      <c r="L102" s="155"/>
      <c r="M102" s="155"/>
    </row>
    <row r="103" spans="1:13" ht="14.4" customHeight="1" x14ac:dyDescent="0.35">
      <c r="A103" s="120"/>
      <c r="B103" s="69" t="s">
        <v>130</v>
      </c>
      <c r="C103" s="73"/>
      <c r="D103" s="74"/>
      <c r="E103" s="74"/>
      <c r="F103" s="74"/>
      <c r="G103" s="74"/>
      <c r="H103" s="155"/>
      <c r="I103" s="155"/>
      <c r="J103" s="155"/>
      <c r="K103" s="155"/>
      <c r="L103" s="155"/>
      <c r="M103" s="155"/>
    </row>
    <row r="104" spans="1:13" ht="15" x14ac:dyDescent="0.35">
      <c r="A104" s="120"/>
      <c r="B104" s="100" t="s">
        <v>131</v>
      </c>
      <c r="C104" s="101"/>
      <c r="D104" s="101" t="s">
        <v>141</v>
      </c>
      <c r="E104" s="101" t="s">
        <v>138</v>
      </c>
      <c r="F104" s="101" t="s">
        <v>135</v>
      </c>
      <c r="G104" s="101" t="s">
        <v>133</v>
      </c>
      <c r="H104" s="155"/>
      <c r="I104" s="155"/>
      <c r="J104" s="155"/>
      <c r="K104" s="155"/>
      <c r="L104" s="155"/>
      <c r="M104" s="155"/>
    </row>
    <row r="105" spans="1:13" ht="15" x14ac:dyDescent="0.35">
      <c r="A105" s="120"/>
      <c r="B105" s="69" t="s">
        <v>132</v>
      </c>
      <c r="C105" s="73"/>
      <c r="D105" s="74" t="s">
        <v>140</v>
      </c>
      <c r="E105" s="74" t="s">
        <v>139</v>
      </c>
      <c r="F105" s="74" t="s">
        <v>136</v>
      </c>
      <c r="G105" s="74" t="s">
        <v>134</v>
      </c>
      <c r="H105" s="155"/>
      <c r="I105" s="155"/>
      <c r="J105" s="155"/>
      <c r="K105" s="155"/>
      <c r="L105" s="155"/>
      <c r="M105" s="155"/>
    </row>
    <row r="106" spans="1:13" ht="15" x14ac:dyDescent="0.35">
      <c r="A106" s="120"/>
      <c r="B106" s="99" t="s">
        <v>146</v>
      </c>
      <c r="C106" s="98"/>
      <c r="D106" s="98"/>
      <c r="E106" s="98"/>
      <c r="F106" s="98"/>
      <c r="G106" s="98"/>
      <c r="H106" s="155"/>
      <c r="I106" s="155"/>
      <c r="J106" s="155"/>
      <c r="K106" s="155"/>
      <c r="L106" s="155"/>
      <c r="M106" s="155"/>
    </row>
    <row r="107" spans="1:13" ht="15" x14ac:dyDescent="0.35">
      <c r="A107" s="120"/>
      <c r="B107" s="69" t="s">
        <v>66</v>
      </c>
      <c r="C107" s="73"/>
      <c r="D107" s="74"/>
      <c r="E107" s="74"/>
      <c r="F107" s="74">
        <v>60.9</v>
      </c>
      <c r="G107" s="74">
        <v>97.9</v>
      </c>
      <c r="H107" s="155"/>
      <c r="I107" s="155"/>
      <c r="J107" s="155"/>
      <c r="K107" s="155"/>
      <c r="L107" s="155"/>
      <c r="M107" s="155"/>
    </row>
    <row r="108" spans="1:13" ht="15" x14ac:dyDescent="0.35">
      <c r="A108" s="117" t="s">
        <v>154</v>
      </c>
      <c r="B108" s="97" t="s">
        <v>147</v>
      </c>
      <c r="C108" s="98"/>
      <c r="D108" s="98"/>
      <c r="E108" s="98"/>
      <c r="F108" s="98">
        <v>2.1</v>
      </c>
      <c r="G108" s="98">
        <v>-0.2</v>
      </c>
      <c r="H108" s="155"/>
      <c r="I108" s="155"/>
      <c r="J108" s="155"/>
      <c r="K108" s="155"/>
      <c r="L108" s="155"/>
      <c r="M108" s="155"/>
    </row>
    <row r="109" spans="1:13" ht="15" x14ac:dyDescent="0.35">
      <c r="A109" s="120"/>
      <c r="B109" s="69" t="s">
        <v>148</v>
      </c>
      <c r="C109" s="73"/>
      <c r="D109" s="74">
        <f t="shared" ref="D109:F109" si="17">D108</f>
        <v>0</v>
      </c>
      <c r="E109" s="74">
        <f t="shared" si="17"/>
        <v>0</v>
      </c>
      <c r="F109" s="74">
        <f t="shared" si="17"/>
        <v>2.1</v>
      </c>
      <c r="G109" s="74">
        <f>G108</f>
        <v>-0.2</v>
      </c>
      <c r="H109" s="155"/>
      <c r="I109" s="155"/>
      <c r="J109" s="155"/>
      <c r="K109" s="155"/>
      <c r="L109" s="155"/>
      <c r="M109" s="155"/>
    </row>
    <row r="110" spans="1:13" ht="15" x14ac:dyDescent="0.35">
      <c r="A110" s="120"/>
      <c r="B110" s="102" t="s">
        <v>149</v>
      </c>
      <c r="C110" s="103"/>
      <c r="D110" s="103">
        <f t="shared" ref="D110:F110" si="18">D100+D109</f>
        <v>131.69999999999999</v>
      </c>
      <c r="E110" s="103">
        <f t="shared" si="18"/>
        <v>117.69999999999999</v>
      </c>
      <c r="F110" s="103">
        <f t="shared" si="18"/>
        <v>62.999999999999993</v>
      </c>
      <c r="G110" s="103">
        <f>G100+G109</f>
        <v>97.7</v>
      </c>
      <c r="H110" s="155"/>
      <c r="I110" s="155"/>
      <c r="J110" s="155"/>
      <c r="K110" s="155"/>
      <c r="L110" s="155"/>
      <c r="M110" s="155"/>
    </row>
    <row r="111" spans="1:13" ht="15" x14ac:dyDescent="0.35">
      <c r="A111" s="120"/>
      <c r="B111" s="69" t="s">
        <v>150</v>
      </c>
      <c r="C111" s="73"/>
      <c r="D111" s="74"/>
      <c r="E111" s="74"/>
      <c r="F111" s="74"/>
      <c r="G111" s="74"/>
      <c r="H111" s="155"/>
      <c r="I111" s="155"/>
      <c r="J111" s="155"/>
      <c r="K111" s="155"/>
      <c r="L111" s="155"/>
      <c r="M111" s="155"/>
    </row>
    <row r="112" spans="1:13" ht="15" x14ac:dyDescent="0.35">
      <c r="A112" s="120"/>
      <c r="B112" s="102" t="s">
        <v>129</v>
      </c>
      <c r="C112" s="103"/>
      <c r="D112" s="103">
        <f t="shared" ref="D112:F112" si="19">D110</f>
        <v>131.69999999999999</v>
      </c>
      <c r="E112" s="103">
        <f t="shared" si="19"/>
        <v>117.69999999999999</v>
      </c>
      <c r="F112" s="103">
        <f t="shared" si="19"/>
        <v>62.999999999999993</v>
      </c>
      <c r="G112" s="103">
        <f>G110</f>
        <v>97.7</v>
      </c>
      <c r="H112" s="155"/>
      <c r="I112" s="155"/>
      <c r="J112" s="155"/>
      <c r="K112" s="155"/>
      <c r="L112" s="155"/>
      <c r="M112" s="155"/>
    </row>
    <row r="113" spans="1:13" ht="14.4" x14ac:dyDescent="0.35">
      <c r="A113" s="120"/>
      <c r="H113" s="155"/>
      <c r="I113" s="155"/>
      <c r="J113" s="155"/>
      <c r="K113" s="155"/>
      <c r="L113" s="155"/>
      <c r="M113" s="155"/>
    </row>
    <row r="114" spans="1:13" ht="16.8" x14ac:dyDescent="0.35">
      <c r="A114" s="68"/>
      <c r="B114" s="160" t="s">
        <v>38</v>
      </c>
      <c r="C114" s="161"/>
      <c r="D114" s="162"/>
      <c r="E114" s="162"/>
      <c r="F114" s="162"/>
      <c r="G114" s="162"/>
      <c r="H114" s="159"/>
      <c r="I114" s="155"/>
      <c r="J114" s="155"/>
      <c r="K114" s="155"/>
      <c r="L114" s="155"/>
      <c r="M114" s="155"/>
    </row>
    <row r="115" spans="1:13" ht="14.4" x14ac:dyDescent="0.35">
      <c r="A115" s="68"/>
      <c r="B115" s="156" t="s">
        <v>41</v>
      </c>
      <c r="C115" s="157"/>
      <c r="D115" s="157"/>
      <c r="E115" s="157"/>
      <c r="F115" s="157"/>
      <c r="G115" s="157"/>
      <c r="H115" s="159"/>
      <c r="I115" s="155"/>
      <c r="J115" s="155"/>
      <c r="K115" s="155"/>
      <c r="L115" s="155"/>
      <c r="M115" s="155"/>
    </row>
    <row r="116" spans="1:13" ht="14.4" x14ac:dyDescent="0.35">
      <c r="A116" s="116"/>
      <c r="B116" s="156"/>
      <c r="C116" s="157"/>
      <c r="D116" s="157"/>
      <c r="E116" s="157"/>
      <c r="F116" s="157"/>
      <c r="G116" s="157"/>
      <c r="H116" s="159"/>
      <c r="I116" s="155"/>
      <c r="J116" s="155"/>
      <c r="K116" s="155"/>
      <c r="L116" s="155"/>
      <c r="M116" s="155"/>
    </row>
    <row r="117" spans="1:13" ht="14.4" x14ac:dyDescent="0.35">
      <c r="A117" s="118"/>
      <c r="B117" s="10"/>
      <c r="C117" s="8"/>
      <c r="D117" s="7"/>
      <c r="E117" s="7"/>
      <c r="F117" s="7"/>
      <c r="G117" s="8"/>
      <c r="H117" s="159"/>
      <c r="I117" s="155"/>
      <c r="J117" s="155"/>
      <c r="K117" s="155"/>
      <c r="L117" s="155"/>
      <c r="M117" s="155"/>
    </row>
    <row r="118" spans="1:13" ht="14.4" x14ac:dyDescent="0.35">
      <c r="A118" s="118"/>
      <c r="B118" s="10"/>
      <c r="C118" s="8"/>
      <c r="D118" s="7"/>
      <c r="E118" s="7"/>
      <c r="F118" s="7"/>
      <c r="G118" s="8"/>
      <c r="H118" s="159"/>
      <c r="I118" s="155"/>
      <c r="J118" s="155"/>
      <c r="K118" s="155"/>
      <c r="L118" s="155"/>
      <c r="M118" s="155"/>
    </row>
    <row r="119" spans="1:13" ht="14.4" x14ac:dyDescent="0.35">
      <c r="A119" s="118"/>
      <c r="B119" s="10"/>
      <c r="C119" s="8"/>
      <c r="D119" s="7"/>
      <c r="E119" s="7"/>
      <c r="F119" s="7"/>
      <c r="G119" s="8"/>
      <c r="H119" s="159"/>
      <c r="I119" s="155"/>
      <c r="J119" s="155"/>
      <c r="K119" s="155"/>
      <c r="L119" s="155"/>
      <c r="M119" s="155"/>
    </row>
    <row r="120" spans="1:13" ht="14.4" x14ac:dyDescent="0.35">
      <c r="A120" s="118"/>
      <c r="B120" s="10"/>
      <c r="C120" s="8"/>
      <c r="D120" s="7"/>
      <c r="E120" s="7"/>
      <c r="F120" s="7"/>
      <c r="G120" s="8"/>
      <c r="H120" s="159"/>
      <c r="I120" s="155"/>
      <c r="J120" s="155"/>
      <c r="K120" s="155"/>
      <c r="L120" s="155"/>
      <c r="M120" s="155"/>
    </row>
    <row r="121" spans="1:13" ht="14.4" x14ac:dyDescent="0.35">
      <c r="A121" s="118"/>
      <c r="B121" s="10"/>
      <c r="C121" s="8"/>
      <c r="D121" s="7"/>
      <c r="E121" s="7"/>
      <c r="F121" s="7"/>
      <c r="G121" s="8"/>
      <c r="H121" s="159"/>
      <c r="I121" s="155"/>
      <c r="J121" s="155"/>
      <c r="K121" s="155"/>
      <c r="L121" s="155"/>
      <c r="M121" s="155"/>
    </row>
    <row r="122" spans="1:13" ht="14.4" x14ac:dyDescent="0.35">
      <c r="A122" s="118"/>
      <c r="B122" s="10"/>
      <c r="C122" s="8"/>
      <c r="D122" s="7"/>
      <c r="E122" s="7"/>
      <c r="F122" s="7"/>
      <c r="G122" s="8"/>
      <c r="H122" s="159"/>
      <c r="I122" s="155"/>
      <c r="J122" s="155"/>
      <c r="K122" s="155"/>
      <c r="L122" s="155"/>
      <c r="M122" s="155"/>
    </row>
    <row r="123" spans="1:13" ht="14.4" x14ac:dyDescent="0.35">
      <c r="A123" s="118"/>
      <c r="B123" s="10"/>
      <c r="C123" s="8"/>
      <c r="D123" s="7"/>
      <c r="E123" s="7"/>
      <c r="F123" s="7"/>
      <c r="G123" s="8"/>
      <c r="H123" s="159"/>
      <c r="I123" s="155"/>
      <c r="J123" s="155"/>
      <c r="K123" s="155"/>
      <c r="L123" s="155"/>
      <c r="M123" s="155"/>
    </row>
    <row r="124" spans="1:13" ht="14.4" x14ac:dyDescent="0.35">
      <c r="A124" s="118"/>
      <c r="B124" s="10"/>
      <c r="C124" s="8"/>
      <c r="D124" s="7"/>
      <c r="E124" s="7"/>
      <c r="F124" s="7"/>
      <c r="G124" s="8"/>
      <c r="H124" s="159"/>
      <c r="I124" s="155"/>
      <c r="J124" s="155"/>
      <c r="K124" s="155"/>
      <c r="L124" s="155"/>
      <c r="M124" s="155"/>
    </row>
    <row r="125" spans="1:13" ht="14.4" x14ac:dyDescent="0.35">
      <c r="A125" s="118"/>
      <c r="B125" s="10"/>
      <c r="C125" s="8"/>
      <c r="D125" s="7"/>
      <c r="E125" s="7"/>
      <c r="F125" s="7"/>
      <c r="G125" s="8"/>
      <c r="H125" s="159"/>
      <c r="I125" s="155"/>
      <c r="J125" s="155"/>
      <c r="K125" s="155"/>
      <c r="L125" s="155"/>
      <c r="M125" s="155"/>
    </row>
    <row r="126" spans="1:13" ht="14.4" x14ac:dyDescent="0.35">
      <c r="A126" s="118"/>
      <c r="B126" s="10"/>
      <c r="C126" s="8"/>
      <c r="D126" s="7"/>
      <c r="E126" s="7"/>
      <c r="F126" s="7"/>
      <c r="G126" s="8"/>
      <c r="H126" s="159"/>
      <c r="I126" s="155"/>
      <c r="J126" s="155"/>
      <c r="K126" s="155"/>
      <c r="L126" s="155"/>
      <c r="M126" s="155"/>
    </row>
    <row r="127" spans="1:13" ht="14.4" x14ac:dyDescent="0.35">
      <c r="A127" s="118"/>
      <c r="B127" s="10"/>
      <c r="C127" s="8"/>
      <c r="D127" s="7"/>
      <c r="E127" s="7"/>
      <c r="F127" s="7"/>
      <c r="G127" s="8"/>
      <c r="H127" s="159"/>
      <c r="I127" s="155"/>
      <c r="J127" s="155"/>
      <c r="K127" s="155"/>
      <c r="L127" s="155"/>
      <c r="M127" s="155"/>
    </row>
    <row r="128" spans="1:13" ht="14.4" x14ac:dyDescent="0.35">
      <c r="A128" s="118"/>
      <c r="B128" s="10"/>
      <c r="C128" s="8"/>
      <c r="D128" s="7"/>
      <c r="E128" s="7"/>
      <c r="F128" s="7"/>
      <c r="G128" s="8"/>
      <c r="H128" s="159"/>
      <c r="I128" s="155"/>
      <c r="J128" s="155"/>
      <c r="K128" s="155"/>
      <c r="L128" s="155"/>
      <c r="M128" s="155"/>
    </row>
    <row r="129" spans="1:13" ht="14.4" x14ac:dyDescent="0.35">
      <c r="A129" s="118"/>
      <c r="B129" s="10"/>
      <c r="C129" s="8"/>
      <c r="D129" s="7"/>
      <c r="E129" s="7"/>
      <c r="F129" s="7"/>
      <c r="G129" s="8"/>
      <c r="H129" s="159"/>
      <c r="I129" s="155"/>
      <c r="J129" s="155"/>
      <c r="K129" s="155"/>
      <c r="L129" s="155"/>
      <c r="M129" s="155"/>
    </row>
    <row r="130" spans="1:13" ht="14.4" x14ac:dyDescent="0.35">
      <c r="A130" s="118"/>
      <c r="B130" s="10"/>
      <c r="C130" s="8"/>
      <c r="D130" s="7"/>
      <c r="E130" s="7"/>
      <c r="F130" s="7"/>
      <c r="G130" s="8"/>
      <c r="H130" s="159"/>
      <c r="I130" s="155"/>
      <c r="J130" s="155"/>
      <c r="K130" s="155"/>
      <c r="L130" s="155"/>
      <c r="M130" s="155"/>
    </row>
    <row r="131" spans="1:13" ht="14.4" x14ac:dyDescent="0.35">
      <c r="A131" s="118"/>
      <c r="B131" s="10"/>
      <c r="C131" s="8"/>
      <c r="D131" s="7"/>
      <c r="E131" s="7"/>
      <c r="F131" s="7"/>
      <c r="G131" s="8"/>
      <c r="H131" s="159"/>
      <c r="I131" s="155"/>
      <c r="J131" s="155"/>
      <c r="K131" s="155"/>
      <c r="L131" s="155"/>
      <c r="M131" s="155"/>
    </row>
    <row r="132" spans="1:13" ht="14.4" x14ac:dyDescent="0.35">
      <c r="A132" s="118"/>
      <c r="B132" s="10"/>
      <c r="C132" s="8"/>
      <c r="D132" s="7"/>
      <c r="E132" s="7"/>
      <c r="F132" s="7"/>
      <c r="G132" s="8"/>
      <c r="H132" s="159"/>
      <c r="I132" s="155"/>
      <c r="J132" s="155"/>
      <c r="K132" s="155"/>
      <c r="L132" s="155"/>
      <c r="M132" s="155"/>
    </row>
    <row r="133" spans="1:13" ht="14.4" x14ac:dyDescent="0.35">
      <c r="A133" s="118"/>
      <c r="B133" s="10"/>
      <c r="C133" s="8"/>
      <c r="D133" s="7"/>
      <c r="E133" s="7"/>
      <c r="F133" s="7"/>
      <c r="G133" s="8"/>
      <c r="H133" s="159"/>
      <c r="I133" s="155"/>
      <c r="J133" s="155"/>
      <c r="K133" s="155"/>
      <c r="L133" s="155"/>
      <c r="M133" s="155"/>
    </row>
    <row r="134" spans="1:13" ht="14.4" x14ac:dyDescent="0.35">
      <c r="A134" s="118"/>
      <c r="B134" s="10"/>
      <c r="C134" s="8"/>
      <c r="D134" s="7"/>
      <c r="E134" s="7"/>
      <c r="F134" s="7"/>
      <c r="G134" s="8"/>
      <c r="H134" s="159"/>
      <c r="I134" s="155"/>
      <c r="J134" s="155"/>
      <c r="K134" s="155"/>
      <c r="L134" s="155"/>
      <c r="M134" s="155"/>
    </row>
    <row r="135" spans="1:13" ht="14.4" x14ac:dyDescent="0.35">
      <c r="A135" s="118"/>
      <c r="B135" s="10"/>
      <c r="C135" s="8"/>
      <c r="D135" s="7"/>
      <c r="E135" s="7"/>
      <c r="F135" s="7"/>
      <c r="G135" s="8"/>
      <c r="H135" s="159"/>
      <c r="I135" s="155"/>
      <c r="J135" s="155"/>
      <c r="K135" s="155"/>
      <c r="L135" s="155"/>
      <c r="M135" s="155"/>
    </row>
    <row r="136" spans="1:13" ht="14.4" x14ac:dyDescent="0.35">
      <c r="A136" s="118"/>
      <c r="B136" s="10"/>
      <c r="C136" s="8"/>
      <c r="D136" s="7"/>
      <c r="E136" s="7"/>
      <c r="F136" s="7"/>
      <c r="G136" s="8"/>
      <c r="H136" s="159"/>
      <c r="I136" s="155"/>
      <c r="J136" s="155"/>
      <c r="K136" s="155"/>
      <c r="L136" s="155"/>
      <c r="M136" s="155"/>
    </row>
    <row r="137" spans="1:13" ht="14.4" x14ac:dyDescent="0.35">
      <c r="A137" s="118"/>
      <c r="B137" s="10"/>
      <c r="C137" s="8"/>
      <c r="D137" s="7"/>
      <c r="E137" s="7"/>
      <c r="F137" s="7"/>
      <c r="G137" s="8"/>
      <c r="H137" s="159"/>
      <c r="I137" s="155"/>
      <c r="J137" s="155"/>
      <c r="K137" s="155"/>
      <c r="L137" s="155"/>
      <c r="M137" s="155"/>
    </row>
    <row r="138" spans="1:13" ht="14.4" x14ac:dyDescent="0.35">
      <c r="A138" s="118"/>
      <c r="B138" s="10"/>
      <c r="C138" s="8"/>
      <c r="D138" s="7"/>
      <c r="E138" s="7"/>
      <c r="F138" s="7"/>
      <c r="G138" s="8"/>
      <c r="H138" s="159"/>
      <c r="I138" s="155"/>
      <c r="J138" s="155"/>
      <c r="K138" s="155"/>
      <c r="L138" s="155"/>
      <c r="M138" s="155"/>
    </row>
    <row r="139" spans="1:13" ht="14.4" x14ac:dyDescent="0.35">
      <c r="A139" s="118"/>
      <c r="B139" s="10"/>
      <c r="C139" s="8"/>
      <c r="D139" s="7"/>
      <c r="E139" s="7"/>
      <c r="F139" s="7"/>
      <c r="G139" s="8"/>
      <c r="H139" s="159"/>
      <c r="I139" s="155"/>
      <c r="J139" s="155"/>
      <c r="K139" s="155"/>
      <c r="L139" s="155"/>
      <c r="M139" s="155"/>
    </row>
    <row r="140" spans="1:13" ht="14.4" x14ac:dyDescent="0.35">
      <c r="A140" s="118"/>
      <c r="B140" s="10"/>
      <c r="C140" s="8"/>
      <c r="D140" s="7"/>
      <c r="E140" s="7"/>
      <c r="F140" s="7"/>
      <c r="G140" s="8"/>
      <c r="H140" s="159"/>
      <c r="I140" s="155"/>
      <c r="J140" s="155"/>
      <c r="K140" s="155"/>
      <c r="L140" s="155"/>
      <c r="M140" s="155"/>
    </row>
    <row r="141" spans="1:13" ht="14.4" x14ac:dyDescent="0.35">
      <c r="A141" s="118"/>
      <c r="B141" s="10"/>
      <c r="C141" s="8"/>
      <c r="D141" s="7"/>
      <c r="E141" s="7"/>
      <c r="F141" s="7"/>
      <c r="G141" s="8"/>
      <c r="H141" s="159"/>
      <c r="I141" s="155"/>
      <c r="J141" s="155"/>
      <c r="K141" s="155"/>
      <c r="L141" s="155"/>
      <c r="M141" s="155"/>
    </row>
    <row r="142" spans="1:13" ht="14.4" x14ac:dyDescent="0.35">
      <c r="A142" s="118"/>
      <c r="B142" s="10"/>
      <c r="C142" s="8"/>
      <c r="D142" s="7"/>
      <c r="E142" s="7"/>
      <c r="F142" s="7"/>
      <c r="G142" s="8"/>
      <c r="H142" s="159"/>
      <c r="I142" s="155"/>
      <c r="J142" s="155"/>
      <c r="K142" s="155"/>
      <c r="L142" s="155"/>
      <c r="M142" s="155"/>
    </row>
    <row r="143" spans="1:13" ht="14.4" x14ac:dyDescent="0.35">
      <c r="A143" s="118"/>
      <c r="B143" s="10"/>
      <c r="C143" s="8"/>
      <c r="D143" s="7"/>
      <c r="E143" s="7"/>
      <c r="F143" s="7"/>
      <c r="G143" s="8"/>
      <c r="H143" s="159"/>
      <c r="I143" s="155"/>
      <c r="J143" s="155"/>
      <c r="K143" s="155"/>
      <c r="L143" s="155"/>
      <c r="M143" s="155"/>
    </row>
    <row r="144" spans="1:13" ht="14.4" x14ac:dyDescent="0.35">
      <c r="A144" s="118"/>
      <c r="B144" s="10"/>
      <c r="C144" s="8"/>
      <c r="D144" s="7"/>
      <c r="E144" s="7"/>
      <c r="F144" s="7"/>
      <c r="G144" s="8"/>
      <c r="H144" s="159"/>
      <c r="I144" s="155"/>
      <c r="J144" s="155"/>
      <c r="K144" s="155"/>
      <c r="L144" s="155"/>
      <c r="M144" s="155"/>
    </row>
    <row r="145" spans="1:13" ht="14.4" x14ac:dyDescent="0.35">
      <c r="A145" s="118"/>
      <c r="B145" s="10"/>
      <c r="C145" s="8"/>
      <c r="D145" s="7"/>
      <c r="E145" s="7"/>
      <c r="F145" s="7"/>
      <c r="G145" s="8"/>
      <c r="H145" s="159"/>
      <c r="I145" s="155"/>
      <c r="J145" s="155"/>
      <c r="K145" s="155"/>
      <c r="L145" s="155"/>
      <c r="M145" s="155"/>
    </row>
    <row r="146" spans="1:13" ht="14.4" x14ac:dyDescent="0.35">
      <c r="A146" s="118"/>
      <c r="B146" s="10"/>
      <c r="C146" s="8"/>
      <c r="D146" s="7"/>
      <c r="E146" s="7"/>
      <c r="F146" s="7"/>
      <c r="G146" s="8"/>
      <c r="H146" s="159"/>
      <c r="I146" s="155"/>
      <c r="J146" s="155"/>
      <c r="K146" s="155"/>
      <c r="L146" s="155"/>
      <c r="M146" s="155"/>
    </row>
    <row r="147" spans="1:13" ht="14.4" x14ac:dyDescent="0.35">
      <c r="A147" s="118"/>
      <c r="B147" s="8"/>
      <c r="C147" s="8"/>
      <c r="D147" s="7"/>
      <c r="E147" s="7"/>
      <c r="F147" s="7"/>
      <c r="G147" s="8"/>
      <c r="H147" s="159"/>
      <c r="I147" s="155"/>
      <c r="J147" s="155"/>
      <c r="K147" s="155"/>
      <c r="L147" s="155"/>
      <c r="M147" s="155"/>
    </row>
  </sheetData>
  <mergeCells count="15">
    <mergeCell ref="H1:M1"/>
    <mergeCell ref="H25:M25"/>
    <mergeCell ref="B115:G116"/>
    <mergeCell ref="H26:M147"/>
    <mergeCell ref="B114:G114"/>
    <mergeCell ref="H2:M24"/>
    <mergeCell ref="B2:G2"/>
    <mergeCell ref="B3:G3"/>
    <mergeCell ref="B4:G4"/>
    <mergeCell ref="B75:G75"/>
    <mergeCell ref="B26:G26"/>
    <mergeCell ref="B28:G28"/>
    <mergeCell ref="B73:G73"/>
    <mergeCell ref="B74:G74"/>
    <mergeCell ref="B27:G27"/>
  </mergeCells>
  <phoneticPr fontId="9" type="noConversion"/>
  <pageMargins left="0.19" right="0.16" top="0.18" bottom="0.19" header="0.23" footer="0.19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8"/>
  <sheetViews>
    <sheetView topLeftCell="B14" zoomScaleNormal="100" workbookViewId="0">
      <selection activeCell="D28" sqref="D28"/>
    </sheetView>
  </sheetViews>
  <sheetFormatPr defaultRowHeight="13.2" x14ac:dyDescent="0.25"/>
  <cols>
    <col min="1" max="1" width="3" customWidth="1"/>
    <col min="2" max="2" width="35.6640625" customWidth="1"/>
    <col min="3" max="3" width="53.33203125" customWidth="1"/>
    <col min="4" max="7" width="13.6640625" style="36" customWidth="1"/>
    <col min="8" max="9" width="8.88671875" customWidth="1"/>
    <col min="10" max="10" width="15.33203125" customWidth="1"/>
    <col min="15" max="15" width="14.88671875" customWidth="1"/>
  </cols>
  <sheetData>
    <row r="1" spans="1:15" ht="16.8" x14ac:dyDescent="0.35">
      <c r="A1" s="11"/>
      <c r="B1" s="11"/>
      <c r="C1" s="11"/>
      <c r="D1" s="25"/>
      <c r="E1" s="25"/>
      <c r="F1" s="25"/>
      <c r="G1" s="26"/>
      <c r="H1" s="11"/>
      <c r="I1" s="11"/>
      <c r="J1" s="181" t="s">
        <v>37</v>
      </c>
      <c r="K1" s="182"/>
      <c r="L1" s="182"/>
      <c r="M1" s="182"/>
      <c r="N1" s="182"/>
      <c r="O1" s="182"/>
    </row>
    <row r="2" spans="1:15" ht="16.8" x14ac:dyDescent="0.35">
      <c r="A2" s="11"/>
      <c r="B2" s="183" t="str">
        <f>+'Financial Statements'!B2:G2</f>
        <v>Morgan Sindall Group</v>
      </c>
      <c r="C2" s="184"/>
      <c r="D2" s="184"/>
      <c r="E2" s="184"/>
      <c r="F2" s="184"/>
      <c r="G2" s="184"/>
      <c r="H2" s="11"/>
      <c r="I2" s="11"/>
      <c r="J2" s="136" t="s">
        <v>157</v>
      </c>
      <c r="K2" s="137">
        <f>'Financial Statements'!D79</f>
        <v>529.89999999999964</v>
      </c>
      <c r="L2" s="137">
        <f>'Financial Statements'!E79</f>
        <v>447.59999999999991</v>
      </c>
      <c r="M2" s="137">
        <f>'Financial Statements'!F79</f>
        <v>370.89999999999964</v>
      </c>
      <c r="N2" s="137">
        <f>'Financial Statements'!G79</f>
        <v>382.80000000000018</v>
      </c>
      <c r="O2" s="19"/>
    </row>
    <row r="3" spans="1:15" ht="16.8" x14ac:dyDescent="0.35">
      <c r="A3" s="11"/>
      <c r="B3" s="185" t="s">
        <v>40</v>
      </c>
      <c r="C3" s="186"/>
      <c r="D3" s="186"/>
      <c r="E3" s="186"/>
      <c r="F3" s="186"/>
      <c r="G3" s="186"/>
      <c r="H3" s="11"/>
      <c r="I3" s="11"/>
      <c r="J3" s="137" t="s">
        <v>171</v>
      </c>
      <c r="K3" s="137">
        <f>'Financial Statements'!D77</f>
        <v>4546.2</v>
      </c>
      <c r="L3" s="137">
        <f>'Financial Statements'!E77</f>
        <v>4117.7</v>
      </c>
      <c r="M3" s="137">
        <f>'Financial Statements'!F77</f>
        <v>3612.2</v>
      </c>
      <c r="N3" s="137">
        <f>'Financial Statements'!G77</f>
        <v>3212.8</v>
      </c>
      <c r="O3" s="19"/>
    </row>
    <row r="4" spans="1:15" ht="15.6" thickBot="1" x14ac:dyDescent="0.4">
      <c r="A4" s="11"/>
      <c r="B4" s="187" t="str">
        <f>+'Financial Statements'!B4:G4</f>
        <v>As at years ended 31st December</v>
      </c>
      <c r="C4" s="188"/>
      <c r="D4" s="188"/>
      <c r="E4" s="188"/>
      <c r="F4" s="188"/>
      <c r="G4" s="188"/>
      <c r="H4" s="11"/>
      <c r="I4" s="11"/>
      <c r="J4" s="18" t="s">
        <v>158</v>
      </c>
      <c r="K4" s="19">
        <f>'Financial Statements'!D44</f>
        <v>2130.6</v>
      </c>
      <c r="L4" s="19">
        <f>'Financial Statements'!E44</f>
        <v>2030.2</v>
      </c>
      <c r="M4" s="19">
        <f>'Financial Statements'!F44</f>
        <v>1794.3999999999999</v>
      </c>
      <c r="N4" s="19">
        <f>'Financial Statements'!G44</f>
        <v>1707.6000000000004</v>
      </c>
      <c r="O4" s="19"/>
    </row>
    <row r="5" spans="1:15" ht="14.4" x14ac:dyDescent="0.35">
      <c r="A5" s="11"/>
      <c r="B5" s="11"/>
      <c r="C5" s="12"/>
      <c r="D5" s="40">
        <f>+'Financial Statements'!D5</f>
        <v>2024</v>
      </c>
      <c r="E5" s="40">
        <f>+'Financial Statements'!E5</f>
        <v>2023</v>
      </c>
      <c r="F5" s="40">
        <f>+'Financial Statements'!F5</f>
        <v>2022</v>
      </c>
      <c r="G5" s="40">
        <f>+'Financial Statements'!G5</f>
        <v>2021</v>
      </c>
      <c r="H5" s="11"/>
      <c r="I5" s="11"/>
      <c r="J5" s="18" t="s">
        <v>159</v>
      </c>
      <c r="K5" s="19">
        <f>'Financial Statements'!D37</f>
        <v>476</v>
      </c>
      <c r="L5" s="19">
        <f>'Financial Statements'!E37</f>
        <v>344.7</v>
      </c>
      <c r="M5" s="19">
        <f>'Financial Statements'!F37</f>
        <v>333.9</v>
      </c>
      <c r="N5" s="19">
        <f>'Financial Statements'!G37</f>
        <v>288.5</v>
      </c>
      <c r="O5" s="19"/>
    </row>
    <row r="6" spans="1:15" ht="15" thickBot="1" x14ac:dyDescent="0.4">
      <c r="A6" s="11"/>
      <c r="B6" s="112" t="s">
        <v>1</v>
      </c>
      <c r="C6" s="114"/>
      <c r="D6" s="27"/>
      <c r="E6" s="27"/>
      <c r="F6" s="27"/>
      <c r="G6" s="27"/>
      <c r="H6" s="11"/>
      <c r="I6" s="11"/>
      <c r="J6" s="18" t="s">
        <v>97</v>
      </c>
      <c r="K6" s="19">
        <f>-'Financial Statements'!D52</f>
        <v>1400.1999999999998</v>
      </c>
      <c r="L6" s="19">
        <f>-'Financial Statements'!E52</f>
        <v>1361.1</v>
      </c>
      <c r="M6" s="19">
        <f>-'Financial Statements'!F52</f>
        <v>1191.1999999999998</v>
      </c>
      <c r="N6" s="19">
        <f>-'Financial Statements'!G52</f>
        <v>1126.9000000000001</v>
      </c>
      <c r="O6" s="19"/>
    </row>
    <row r="7" spans="1:15" ht="15" thickBot="1" x14ac:dyDescent="0.4">
      <c r="A7" s="11"/>
      <c r="B7" s="113" t="s">
        <v>2</v>
      </c>
      <c r="C7" s="115" t="s">
        <v>3</v>
      </c>
      <c r="D7" s="36">
        <f>K2/K3</f>
        <v>0.11655888434296768</v>
      </c>
      <c r="E7" s="36">
        <f t="shared" ref="E7:F7" si="0">L2/L3</f>
        <v>0.10870145955266287</v>
      </c>
      <c r="F7" s="36">
        <f t="shared" si="0"/>
        <v>0.10267980731963891</v>
      </c>
      <c r="G7" s="36">
        <f>N2/N3</f>
        <v>0.11914840637450204</v>
      </c>
      <c r="H7" s="11"/>
      <c r="I7" s="11"/>
      <c r="J7" s="18" t="s">
        <v>104</v>
      </c>
      <c r="K7" s="19">
        <f>'Financial Statements'!D21</f>
        <v>647.19999999999993</v>
      </c>
      <c r="L7" s="19">
        <f>'Financial Statements'!E21</f>
        <v>568.1</v>
      </c>
      <c r="M7" s="19">
        <f>'Financial Statements'!F21</f>
        <v>496.20000000000005</v>
      </c>
      <c r="N7" s="19">
        <f>'Financial Statements'!G21</f>
        <v>474.20000000000005</v>
      </c>
      <c r="O7" s="19"/>
    </row>
    <row r="8" spans="1:15" ht="14.4" x14ac:dyDescent="0.35">
      <c r="A8" s="11"/>
      <c r="B8" s="11" t="s">
        <v>4</v>
      </c>
      <c r="C8" s="51" t="s">
        <v>5</v>
      </c>
      <c r="D8" s="111">
        <f>K19/K3</f>
        <v>2.8969249043156921E-2</v>
      </c>
      <c r="E8" s="111">
        <f t="shared" ref="E8:G8" si="1">L19/L3</f>
        <v>2.8583918206765913E-2</v>
      </c>
      <c r="F8" s="111">
        <f t="shared" si="1"/>
        <v>1.7440894745584409E-2</v>
      </c>
      <c r="G8" s="111">
        <f t="shared" si="1"/>
        <v>3.0409611553784861E-2</v>
      </c>
      <c r="H8" s="11"/>
      <c r="I8" s="11"/>
      <c r="J8" s="18" t="s">
        <v>160</v>
      </c>
      <c r="K8" s="19">
        <f>'Financial Statements'!D43</f>
        <v>1704.8999999999999</v>
      </c>
      <c r="L8" s="19">
        <f>'Financial Statements'!E43</f>
        <v>1618.2</v>
      </c>
      <c r="M8" s="19">
        <f>'Financial Statements'!F43</f>
        <v>1413.6</v>
      </c>
      <c r="N8" s="19">
        <f>'Financial Statements'!G43</f>
        <v>1324.2000000000003</v>
      </c>
      <c r="O8" s="19"/>
    </row>
    <row r="9" spans="1:15" ht="12" customHeight="1" x14ac:dyDescent="0.35">
      <c r="A9" s="11"/>
      <c r="B9" s="15" t="s">
        <v>6</v>
      </c>
      <c r="C9" s="16" t="s">
        <v>7</v>
      </c>
      <c r="D9" s="38">
        <f>K19/K4</f>
        <v>6.1813573641227818E-2</v>
      </c>
      <c r="E9" s="38">
        <f t="shared" ref="E9:G9" si="2">L19/L4</f>
        <v>5.7974583784848779E-2</v>
      </c>
      <c r="F9" s="38">
        <f t="shared" si="2"/>
        <v>3.5109228711547036E-2</v>
      </c>
      <c r="G9" s="38">
        <f t="shared" si="2"/>
        <v>5.7214804403841642E-2</v>
      </c>
      <c r="H9" s="11"/>
      <c r="I9" s="11"/>
      <c r="J9" s="18" t="s">
        <v>161</v>
      </c>
      <c r="K9" s="19">
        <f>-'Financial Statements'!D52</f>
        <v>1400.1999999999998</v>
      </c>
      <c r="L9" s="19">
        <f>-'Financial Statements'!E52</f>
        <v>1361.1</v>
      </c>
      <c r="M9" s="19">
        <f>-'Financial Statements'!F52</f>
        <v>1191.1999999999998</v>
      </c>
      <c r="N9" s="19">
        <f>-'Financial Statements'!G52</f>
        <v>1126.9000000000001</v>
      </c>
      <c r="O9" s="19"/>
    </row>
    <row r="10" spans="1:15" ht="14.4" x14ac:dyDescent="0.35">
      <c r="A10" s="11"/>
      <c r="B10" s="11"/>
      <c r="C10" s="12"/>
      <c r="D10" s="28"/>
      <c r="E10" s="28"/>
      <c r="F10" s="28"/>
      <c r="G10" s="28"/>
      <c r="H10" s="11"/>
      <c r="I10" s="11"/>
      <c r="J10" s="18" t="s">
        <v>168</v>
      </c>
      <c r="K10" s="19">
        <f>'Financial Statements'!D62</f>
        <v>647.20000000000005</v>
      </c>
      <c r="L10" s="19">
        <f>'Financial Statements'!E62</f>
        <v>487.50000000000023</v>
      </c>
      <c r="M10" s="19">
        <f>'Financial Statements'!F62</f>
        <v>419.10000000000014</v>
      </c>
      <c r="N10" s="19">
        <f>'Financial Statements'!G62</f>
        <v>364.40000000000032</v>
      </c>
      <c r="O10" s="19"/>
    </row>
    <row r="11" spans="1:15" ht="14.4" x14ac:dyDescent="0.35">
      <c r="A11" s="11"/>
      <c r="B11" s="13" t="s">
        <v>8</v>
      </c>
      <c r="C11" s="14"/>
      <c r="D11" s="27"/>
      <c r="E11" s="27"/>
      <c r="F11" s="27"/>
      <c r="G11" s="27"/>
      <c r="H11" s="11"/>
      <c r="I11" s="11"/>
      <c r="J11" s="18" t="s">
        <v>163</v>
      </c>
      <c r="K11" s="19">
        <f>'Financial Statements'!D39</f>
        <v>453.5</v>
      </c>
      <c r="L11" s="19">
        <f>'Financial Statements'!E39</f>
        <v>461.6</v>
      </c>
      <c r="M11" s="19">
        <f>'Financial Statements'!F39</f>
        <v>353</v>
      </c>
      <c r="N11" s="19">
        <f>'Financial Statements'!G39</f>
        <v>328.3</v>
      </c>
      <c r="O11" s="19"/>
    </row>
    <row r="12" spans="1:15" ht="14.4" customHeight="1" x14ac:dyDescent="0.35">
      <c r="A12" s="11"/>
      <c r="B12" s="11" t="s">
        <v>9</v>
      </c>
      <c r="C12" s="138" t="s">
        <v>10</v>
      </c>
      <c r="D12" s="150">
        <f>'Financial Statements'!D37/-('Financial Statements'!D78/365)</f>
        <v>43.258720713094135</v>
      </c>
      <c r="E12" s="150">
        <f>'Financial Statements'!E37/-('Financial Statements'!E78/365)</f>
        <v>34.281218495408844</v>
      </c>
      <c r="F12" s="150">
        <f>'Financial Statements'!F37/-('Financial Statements'!F78/365)</f>
        <v>37.600191281276025</v>
      </c>
      <c r="G12" s="150">
        <f>'Financial Statements'!G37/-('Financial Statements'!G78/365)</f>
        <v>37.209363957597176</v>
      </c>
      <c r="H12" s="11"/>
      <c r="I12" s="11"/>
      <c r="J12" s="18"/>
      <c r="K12" s="19"/>
      <c r="L12" s="19"/>
      <c r="M12" s="19"/>
      <c r="N12" s="19"/>
      <c r="O12" s="19"/>
    </row>
    <row r="13" spans="1:15" ht="14.4" x14ac:dyDescent="0.35">
      <c r="A13" s="11"/>
      <c r="B13" s="15" t="s">
        <v>11</v>
      </c>
      <c r="C13" s="16" t="s">
        <v>12</v>
      </c>
      <c r="D13" s="37">
        <f>K3/K4</f>
        <v>2.1337651365812449</v>
      </c>
      <c r="E13" s="37">
        <f t="shared" ref="E13:G13" si="3">L3/L4</f>
        <v>2.0282238203132694</v>
      </c>
      <c r="F13" s="37">
        <f t="shared" si="3"/>
        <v>2.0130405706642889</v>
      </c>
      <c r="G13" s="37">
        <f t="shared" si="3"/>
        <v>1.8814710705083155</v>
      </c>
      <c r="H13" s="11"/>
      <c r="I13" s="11"/>
      <c r="J13" s="18" t="s">
        <v>164</v>
      </c>
      <c r="K13" s="19">
        <f>-'Financial Statements'!D61</f>
        <v>1483.3999999999999</v>
      </c>
      <c r="L13" s="19">
        <f>-'Financial Statements'!E50</f>
        <v>80.599999999999994</v>
      </c>
      <c r="M13" s="19">
        <f>-'Financial Statements'!F50</f>
        <v>77.099999999999994</v>
      </c>
      <c r="N13" s="19">
        <f>-'Financial Statements'!G50</f>
        <v>110.2</v>
      </c>
      <c r="O13" s="19"/>
    </row>
    <row r="14" spans="1:15" ht="14.4" x14ac:dyDescent="0.35">
      <c r="A14" s="11"/>
      <c r="B14" s="52"/>
      <c r="C14" s="53" t="s">
        <v>0</v>
      </c>
      <c r="D14" s="29"/>
      <c r="E14" s="29"/>
      <c r="F14" s="29"/>
      <c r="G14" s="29"/>
      <c r="H14" s="11"/>
      <c r="I14" s="11"/>
      <c r="J14" s="18" t="s">
        <v>165</v>
      </c>
      <c r="K14" s="19">
        <f>'Financial Statements'!D87</f>
        <v>162</v>
      </c>
      <c r="L14" s="19">
        <f>'Financial Statements'!E87</f>
        <v>140.60000000000002</v>
      </c>
      <c r="M14" s="19">
        <f>'Financial Statements'!F87</f>
        <v>88.299999999999955</v>
      </c>
      <c r="N14" s="19">
        <f>'Financial Statements'!G87</f>
        <v>129.80000000000001</v>
      </c>
      <c r="O14" s="19"/>
    </row>
    <row r="15" spans="1:15" ht="14.4" customHeight="1" x14ac:dyDescent="0.35">
      <c r="A15" s="11"/>
      <c r="B15" s="13" t="s">
        <v>13</v>
      </c>
      <c r="C15" s="14" t="s">
        <v>0</v>
      </c>
      <c r="D15" s="27"/>
      <c r="E15" s="27"/>
      <c r="F15" s="27"/>
      <c r="G15" s="27"/>
      <c r="H15" s="11"/>
      <c r="I15" s="11"/>
      <c r="J15" s="18"/>
      <c r="K15" s="19"/>
      <c r="L15" s="19"/>
      <c r="M15" s="19"/>
      <c r="N15" s="19"/>
      <c r="O15" s="19"/>
    </row>
    <row r="16" spans="1:15" ht="14.4" customHeight="1" x14ac:dyDescent="0.35">
      <c r="A16" s="11"/>
      <c r="B16" s="15" t="s">
        <v>14</v>
      </c>
      <c r="C16" s="16" t="s">
        <v>15</v>
      </c>
      <c r="D16" s="56">
        <f>K8/K6</f>
        <v>1.2176117697471791</v>
      </c>
      <c r="E16" s="56">
        <f t="shared" ref="E16:G16" si="4">L8/L6</f>
        <v>1.1888913378884727</v>
      </c>
      <c r="F16" s="56">
        <f t="shared" si="4"/>
        <v>1.1867024848891874</v>
      </c>
      <c r="G16" s="56">
        <f t="shared" si="4"/>
        <v>1.1750820835921556</v>
      </c>
      <c r="H16" s="11"/>
      <c r="I16" s="11"/>
      <c r="J16" s="18"/>
      <c r="K16" s="19"/>
      <c r="L16" s="19"/>
      <c r="M16" s="19"/>
      <c r="N16" s="19"/>
      <c r="O16" s="19"/>
    </row>
    <row r="17" spans="1:15" ht="14.4" x14ac:dyDescent="0.35">
      <c r="A17" s="11"/>
      <c r="B17" s="11" t="s">
        <v>34</v>
      </c>
      <c r="C17" s="51" t="s">
        <v>35</v>
      </c>
      <c r="D17" s="57">
        <f>(K8-K5-D44)/K6</f>
        <v>0.8661619768604486</v>
      </c>
      <c r="E17" s="57">
        <f>(L8-L5-E44)/L6</f>
        <v>0.9225626331643525</v>
      </c>
      <c r="F17" s="57">
        <f>(M8-M5-F44)/M6</f>
        <v>0.89548354600402957</v>
      </c>
      <c r="G17" s="57">
        <f>(N8-N5-G44)/N6</f>
        <v>0.90735646463750119</v>
      </c>
      <c r="H17" s="11"/>
      <c r="I17" s="11"/>
      <c r="J17" s="18" t="s">
        <v>166</v>
      </c>
      <c r="K17" s="138">
        <f>-'Financial Statements'!D93</f>
        <v>8.3000000000000007</v>
      </c>
      <c r="L17" s="138">
        <f>-'Financial Statements'!E93</f>
        <v>7.5</v>
      </c>
      <c r="M17" s="138">
        <f>-'Financial Statements'!F93</f>
        <v>5.3</v>
      </c>
      <c r="N17" s="138">
        <f>-'Financial Statements'!G93</f>
        <v>4.2</v>
      </c>
      <c r="O17" s="19"/>
    </row>
    <row r="18" spans="1:15" ht="14.4" x14ac:dyDescent="0.35">
      <c r="A18" s="11"/>
      <c r="B18" s="15" t="s">
        <v>36</v>
      </c>
      <c r="C18" s="16" t="s">
        <v>62</v>
      </c>
      <c r="D18" s="56">
        <f>(K8-K5-D44-K11)/K6</f>
        <v>0.54227967433223834</v>
      </c>
      <c r="E18" s="56">
        <f>(L8-L5-E44-L11)/L6</f>
        <v>0.58342517081772105</v>
      </c>
      <c r="F18" s="56">
        <f>(M8-M5-F44-M11)/M6</f>
        <v>0.59914372061786425</v>
      </c>
      <c r="G18" s="56">
        <f>(N8-N5-G44-N11)/N6</f>
        <v>0.6160262667494899</v>
      </c>
      <c r="H18" s="11"/>
      <c r="I18" s="11"/>
      <c r="J18" s="18" t="s">
        <v>167</v>
      </c>
      <c r="K18" s="19">
        <f>-'Financial Statements'!D19</f>
        <v>56.1</v>
      </c>
      <c r="L18" s="19">
        <f>-'Financial Statements'!E19</f>
        <v>48.1</v>
      </c>
      <c r="M18" s="19">
        <f>-'Financial Statements'!F19</f>
        <v>43.5</v>
      </c>
      <c r="N18" s="19">
        <f>-'Financial Statements'!G19</f>
        <v>32.299999999999997</v>
      </c>
      <c r="O18" s="19"/>
    </row>
    <row r="19" spans="1:15" ht="14.4" x14ac:dyDescent="0.35">
      <c r="A19" s="11"/>
      <c r="B19" s="52"/>
      <c r="C19" s="53"/>
      <c r="D19" s="29"/>
      <c r="E19" s="29"/>
      <c r="F19" s="29"/>
      <c r="G19" s="29"/>
      <c r="H19" s="11"/>
      <c r="I19" s="11"/>
      <c r="J19" s="18" t="s">
        <v>169</v>
      </c>
      <c r="K19" s="144">
        <f>'Financial Statements'!D110</f>
        <v>131.69999999999999</v>
      </c>
      <c r="L19" s="144">
        <f>'Financial Statements'!E110</f>
        <v>117.69999999999999</v>
      </c>
      <c r="M19" s="144">
        <f>'Financial Statements'!F110</f>
        <v>62.999999999999993</v>
      </c>
      <c r="N19" s="144">
        <f>'Financial Statements'!G110</f>
        <v>97.7</v>
      </c>
    </row>
    <row r="20" spans="1:15" ht="16.8" x14ac:dyDescent="0.35">
      <c r="A20" s="11"/>
      <c r="B20" s="13" t="s">
        <v>16</v>
      </c>
      <c r="C20" s="14"/>
      <c r="D20" s="27"/>
      <c r="E20" s="27"/>
      <c r="F20" s="27"/>
      <c r="G20" s="27"/>
      <c r="H20" s="11"/>
      <c r="I20" s="11"/>
      <c r="J20" s="143"/>
      <c r="K20" s="19"/>
      <c r="L20" s="19"/>
      <c r="M20" s="19"/>
      <c r="N20" s="19"/>
      <c r="O20" s="19"/>
    </row>
    <row r="21" spans="1:15" ht="14.4" customHeight="1" x14ac:dyDescent="0.35">
      <c r="A21" s="11"/>
      <c r="B21" s="15" t="s">
        <v>17</v>
      </c>
      <c r="C21" s="138" t="s">
        <v>18</v>
      </c>
      <c r="D21" s="151">
        <f>-'Financial Statements'!D61/'Financial Statements'!D69</f>
        <v>2.2920271940667485</v>
      </c>
      <c r="E21" s="151">
        <f>-'Financial Statements'!E61/'Financial Statements'!E69</f>
        <v>2.7155430381975001</v>
      </c>
      <c r="F21" s="151">
        <f>-'Financial Statements'!F61/'Financial Statements'!F69</f>
        <v>2.7716646513502616</v>
      </c>
      <c r="G21" s="151">
        <f>-'Financial Statements'!G61/'Financial Statements'!G69</f>
        <v>2.8325601012231125</v>
      </c>
      <c r="H21" s="11"/>
      <c r="J21" s="133"/>
      <c r="K21" s="19"/>
      <c r="L21" s="19"/>
      <c r="M21" s="19"/>
      <c r="N21" s="19"/>
      <c r="O21" s="19"/>
    </row>
    <row r="22" spans="1:15" ht="14.4" x14ac:dyDescent="0.35">
      <c r="A22" s="11"/>
      <c r="B22" s="11" t="s">
        <v>19</v>
      </c>
      <c r="C22" s="51" t="s">
        <v>20</v>
      </c>
      <c r="D22" s="38">
        <f>K7/K4</f>
        <v>0.30376419787853187</v>
      </c>
      <c r="E22" s="38">
        <f t="shared" ref="E22:G22" si="5">L7/L4</f>
        <v>0.27982464781794897</v>
      </c>
      <c r="F22" s="38">
        <f t="shared" si="5"/>
        <v>0.27652697280428001</v>
      </c>
      <c r="G22" s="38">
        <f t="shared" si="5"/>
        <v>0.27769969547903489</v>
      </c>
      <c r="H22" s="11"/>
      <c r="I22" s="11"/>
      <c r="J22" s="18"/>
      <c r="K22" s="19"/>
      <c r="L22" s="19"/>
      <c r="M22" s="19"/>
      <c r="N22" s="19"/>
      <c r="O22" s="19"/>
    </row>
    <row r="23" spans="1:15" ht="14.4" x14ac:dyDescent="0.35">
      <c r="A23" s="11"/>
      <c r="B23" s="15" t="s">
        <v>21</v>
      </c>
      <c r="C23" s="16" t="s">
        <v>22</v>
      </c>
      <c r="D23" s="56">
        <f>K14/K17</f>
        <v>19.518072289156624</v>
      </c>
      <c r="E23" s="56">
        <f t="shared" ref="E23:G23" si="6">L14/L17</f>
        <v>18.74666666666667</v>
      </c>
      <c r="F23" s="56">
        <f t="shared" si="6"/>
        <v>16.660377358490557</v>
      </c>
      <c r="G23" s="56">
        <f t="shared" si="6"/>
        <v>30.904761904761905</v>
      </c>
      <c r="H23" s="11"/>
      <c r="I23" s="11"/>
      <c r="J23" s="18"/>
      <c r="K23" s="19"/>
      <c r="L23" s="19"/>
      <c r="M23" s="19"/>
      <c r="N23" s="19"/>
      <c r="O23" s="19"/>
    </row>
    <row r="24" spans="1:15" ht="14.4" x14ac:dyDescent="0.35">
      <c r="A24" s="11"/>
      <c r="B24" s="52"/>
      <c r="C24" s="53"/>
      <c r="D24" s="29"/>
      <c r="E24" s="29"/>
      <c r="F24" s="29"/>
      <c r="G24" s="29"/>
      <c r="H24" s="11"/>
      <c r="I24" s="11"/>
      <c r="J24" s="18"/>
      <c r="K24" s="19"/>
      <c r="L24" s="19"/>
      <c r="M24" s="19"/>
      <c r="N24" s="19"/>
      <c r="O24" s="19"/>
    </row>
    <row r="25" spans="1:15" ht="14.4" x14ac:dyDescent="0.35">
      <c r="A25" s="11"/>
      <c r="B25" s="13" t="s">
        <v>23</v>
      </c>
      <c r="C25" s="14"/>
      <c r="D25" s="27"/>
      <c r="E25" s="27"/>
      <c r="F25" s="27"/>
      <c r="G25" s="27"/>
      <c r="H25" s="11"/>
      <c r="I25" s="11"/>
      <c r="J25" s="18"/>
      <c r="K25" s="19"/>
      <c r="L25" s="19"/>
      <c r="M25" s="19"/>
      <c r="N25" s="19"/>
      <c r="O25" s="19"/>
    </row>
    <row r="26" spans="1:15" ht="14.4" x14ac:dyDescent="0.35">
      <c r="A26" s="11"/>
      <c r="B26" s="15" t="s">
        <v>24</v>
      </c>
      <c r="C26" s="16" t="s">
        <v>44</v>
      </c>
      <c r="D26" s="37">
        <f>K19/D39</f>
        <v>2.7437499999999999</v>
      </c>
      <c r="E26" s="37">
        <f>L19/E39</f>
        <v>2.485744456177402</v>
      </c>
      <c r="F26" s="37">
        <f>M19/F39</f>
        <v>1.3305174234424497</v>
      </c>
      <c r="G26" s="37">
        <f>N19/G39</f>
        <v>2.1069657105887427</v>
      </c>
      <c r="H26" s="11"/>
      <c r="I26" s="11"/>
      <c r="J26" s="18"/>
      <c r="K26" s="19"/>
      <c r="L26" s="19"/>
      <c r="M26" s="19"/>
      <c r="N26" s="19"/>
      <c r="O26" s="19"/>
    </row>
    <row r="27" spans="1:15" ht="14.4" x14ac:dyDescent="0.35">
      <c r="A27" s="11"/>
      <c r="B27" s="11" t="s">
        <v>25</v>
      </c>
      <c r="C27" s="51" t="s">
        <v>26</v>
      </c>
      <c r="D27" s="39">
        <f>K18/D39</f>
        <v>1.16875</v>
      </c>
      <c r="E27" s="39">
        <f>L18/E39</f>
        <v>1.0158394931362196</v>
      </c>
      <c r="F27" s="39">
        <f>M18/F39</f>
        <v>0.91869060190073915</v>
      </c>
      <c r="G27" s="39">
        <f>N18/G39</f>
        <v>0.69657105887427218</v>
      </c>
      <c r="H27" s="11"/>
      <c r="I27" s="11"/>
      <c r="J27" s="18"/>
      <c r="K27" s="19"/>
      <c r="L27" s="19"/>
      <c r="M27" s="19"/>
      <c r="N27" s="19"/>
      <c r="O27" s="19"/>
    </row>
    <row r="28" spans="1:15" ht="14.4" x14ac:dyDescent="0.35">
      <c r="A28" s="11"/>
      <c r="B28" s="15" t="s">
        <v>27</v>
      </c>
      <c r="C28" s="16" t="s">
        <v>28</v>
      </c>
      <c r="D28" s="132">
        <f>D27/D40</f>
        <v>4.1666666666666664E-2</v>
      </c>
      <c r="E28" s="132">
        <f t="shared" ref="E28:G28" si="7">E27/E40</f>
        <v>5.4703257573302078E-2</v>
      </c>
      <c r="F28" s="132">
        <f t="shared" si="7"/>
        <v>4.8048671647528199E-2</v>
      </c>
      <c r="G28" s="132">
        <f t="shared" si="7"/>
        <v>3.256526689454288E-2</v>
      </c>
      <c r="H28" s="11"/>
      <c r="I28" s="11"/>
      <c r="J28" s="18"/>
      <c r="K28" s="19"/>
      <c r="L28" s="19"/>
      <c r="M28" s="19"/>
      <c r="N28" s="19"/>
      <c r="O28" s="19"/>
    </row>
    <row r="29" spans="1:15" ht="14.4" x14ac:dyDescent="0.35">
      <c r="A29" s="11"/>
      <c r="B29" s="54" t="s">
        <v>29</v>
      </c>
      <c r="C29" s="138" t="s">
        <v>30</v>
      </c>
      <c r="D29" s="152">
        <f>D40/D26</f>
        <v>10.223234624145787</v>
      </c>
      <c r="E29" s="152">
        <f t="shared" ref="E29:G29" si="8">E40/E26</f>
        <v>7.4705989804587949</v>
      </c>
      <c r="F29" s="152">
        <f t="shared" si="8"/>
        <v>14.370349206349209</v>
      </c>
      <c r="G29" s="152">
        <f t="shared" si="8"/>
        <v>10.152039918116683</v>
      </c>
      <c r="H29" s="11"/>
      <c r="I29" s="11"/>
      <c r="J29" s="18"/>
      <c r="K29" s="19"/>
      <c r="L29" s="19"/>
      <c r="M29" s="19"/>
      <c r="N29" s="19"/>
      <c r="O29" s="19"/>
    </row>
    <row r="30" spans="1:15" ht="14.4" x14ac:dyDescent="0.35">
      <c r="A30" s="11"/>
      <c r="B30" s="15" t="s">
        <v>31</v>
      </c>
      <c r="C30" s="16" t="s">
        <v>63</v>
      </c>
      <c r="D30" s="56">
        <f>K10/D39</f>
        <v>13.483333333333334</v>
      </c>
      <c r="E30" s="56">
        <f>L10/E39</f>
        <v>10.295670538542771</v>
      </c>
      <c r="F30" s="56">
        <f>M10/F39</f>
        <v>8.8511087645195374</v>
      </c>
      <c r="G30" s="56">
        <f>N10/G39</f>
        <v>7.8585292214794125</v>
      </c>
      <c r="H30" s="11"/>
      <c r="I30" s="11"/>
      <c r="J30" s="18"/>
      <c r="K30" s="19"/>
      <c r="L30" s="19"/>
      <c r="M30" s="19"/>
      <c r="N30" s="19"/>
      <c r="O30" s="19"/>
    </row>
    <row r="31" spans="1:15" ht="14.4" x14ac:dyDescent="0.35">
      <c r="A31" s="11"/>
      <c r="B31" s="11" t="s">
        <v>32</v>
      </c>
      <c r="C31" s="51" t="s">
        <v>33</v>
      </c>
      <c r="D31" s="58">
        <f>D40/D30</f>
        <v>2.0803461063040789</v>
      </c>
      <c r="E31" s="58">
        <f t="shared" ref="E31:G31" si="9">E40/E30</f>
        <v>1.8036707692307685</v>
      </c>
      <c r="F31" s="58">
        <f t="shared" si="9"/>
        <v>2.1601813409687423</v>
      </c>
      <c r="G31" s="58">
        <f t="shared" si="9"/>
        <v>2.7218833699231588</v>
      </c>
      <c r="H31" s="58"/>
      <c r="I31" s="58"/>
      <c r="J31" s="18"/>
      <c r="K31" s="19"/>
      <c r="L31" s="19"/>
      <c r="M31" s="19"/>
      <c r="N31" s="19"/>
      <c r="O31" s="19"/>
    </row>
    <row r="32" spans="1:15" ht="14.4" x14ac:dyDescent="0.35">
      <c r="A32" s="11"/>
      <c r="B32" s="11"/>
      <c r="C32" s="51"/>
      <c r="D32" s="28"/>
      <c r="E32" s="28"/>
      <c r="F32" s="28"/>
      <c r="G32" s="28"/>
      <c r="H32" s="11"/>
      <c r="I32" s="11"/>
      <c r="J32" s="18"/>
      <c r="K32" s="19"/>
      <c r="L32" s="19"/>
      <c r="M32" s="19"/>
      <c r="N32" s="19"/>
      <c r="O32" s="19"/>
    </row>
    <row r="33" spans="1:15" ht="14.4" x14ac:dyDescent="0.35">
      <c r="A33" s="11"/>
      <c r="B33" s="17"/>
      <c r="C33" s="17"/>
      <c r="D33" s="30"/>
      <c r="E33" s="30"/>
      <c r="F33" s="30"/>
      <c r="G33" s="31"/>
      <c r="H33" s="11"/>
      <c r="I33" s="11"/>
      <c r="J33" s="18"/>
      <c r="K33" s="19"/>
      <c r="L33" s="19"/>
      <c r="M33" s="19"/>
      <c r="N33" s="19"/>
      <c r="O33" s="19"/>
    </row>
    <row r="34" spans="1:15" ht="14.4" x14ac:dyDescent="0.35">
      <c r="A34" s="11"/>
      <c r="B34" s="177" t="s">
        <v>38</v>
      </c>
      <c r="C34" s="178"/>
      <c r="D34" s="178"/>
      <c r="E34" s="178"/>
      <c r="F34" s="178"/>
      <c r="G34" s="178"/>
      <c r="H34" s="178"/>
      <c r="I34" s="179"/>
      <c r="J34" s="18"/>
      <c r="K34" s="19"/>
      <c r="L34" s="19"/>
      <c r="M34" s="19"/>
      <c r="N34" s="19"/>
      <c r="O34" s="19"/>
    </row>
    <row r="35" spans="1:15" ht="14.4" x14ac:dyDescent="0.35">
      <c r="A35" s="11"/>
      <c r="B35" s="180" t="s">
        <v>41</v>
      </c>
      <c r="C35" s="178"/>
      <c r="D35" s="178"/>
      <c r="E35" s="178"/>
      <c r="F35" s="178"/>
      <c r="G35" s="178"/>
      <c r="H35" s="178"/>
      <c r="I35" s="179"/>
      <c r="J35" s="18"/>
      <c r="K35" s="19"/>
      <c r="L35" s="19"/>
      <c r="M35" s="19"/>
      <c r="N35" s="19"/>
      <c r="O35" s="19"/>
    </row>
    <row r="36" spans="1:15" ht="14.4" x14ac:dyDescent="0.35">
      <c r="A36" s="11"/>
      <c r="B36" s="180"/>
      <c r="C36" s="178"/>
      <c r="D36" s="178"/>
      <c r="E36" s="178"/>
      <c r="F36" s="178"/>
      <c r="G36" s="178"/>
      <c r="H36" s="178"/>
      <c r="I36" s="179"/>
      <c r="J36" s="18"/>
      <c r="K36" s="19"/>
      <c r="L36" s="19"/>
      <c r="M36" s="19"/>
      <c r="N36" s="19"/>
      <c r="O36" s="19"/>
    </row>
    <row r="37" spans="1:15" ht="15" thickBot="1" x14ac:dyDescent="0.4">
      <c r="A37" s="11"/>
      <c r="B37" s="18"/>
      <c r="C37" s="19"/>
      <c r="D37" s="106"/>
      <c r="E37" s="106"/>
      <c r="F37" s="106"/>
      <c r="G37" s="106"/>
      <c r="H37" s="19"/>
      <c r="I37" s="19"/>
      <c r="J37" s="18"/>
      <c r="K37" s="19"/>
      <c r="L37" s="19"/>
      <c r="M37" s="19"/>
      <c r="N37" s="19"/>
      <c r="O37" s="19"/>
    </row>
    <row r="38" spans="1:15" ht="15" thickBot="1" x14ac:dyDescent="0.4">
      <c r="A38" s="11"/>
      <c r="B38" s="18"/>
      <c r="C38" s="19"/>
      <c r="D38" s="107">
        <f>'Financial Statements'!D5</f>
        <v>2024</v>
      </c>
      <c r="E38" s="108">
        <f>'Financial Statements'!E5</f>
        <v>2023</v>
      </c>
      <c r="F38" s="108">
        <f>'Financial Statements'!F5</f>
        <v>2022</v>
      </c>
      <c r="G38" s="109">
        <f>'Financial Statements'!G5</f>
        <v>2021</v>
      </c>
      <c r="H38" s="19"/>
      <c r="I38" s="20"/>
      <c r="J38" s="18"/>
      <c r="K38" s="19"/>
      <c r="L38" s="19"/>
      <c r="M38" s="19"/>
      <c r="N38" s="19"/>
      <c r="O38" s="19"/>
    </row>
    <row r="39" spans="1:15" ht="14.4" x14ac:dyDescent="0.35">
      <c r="A39" s="11"/>
      <c r="B39" s="18"/>
      <c r="C39" s="19" t="s">
        <v>170</v>
      </c>
      <c r="D39" s="110">
        <v>48</v>
      </c>
      <c r="E39" s="110">
        <v>47.35</v>
      </c>
      <c r="F39" s="105">
        <v>47.35</v>
      </c>
      <c r="G39" s="105">
        <v>46.37</v>
      </c>
      <c r="H39" s="19"/>
      <c r="I39" s="19"/>
      <c r="J39" s="18"/>
      <c r="K39" s="19"/>
      <c r="L39" s="19"/>
      <c r="M39" s="19"/>
      <c r="N39" s="19"/>
      <c r="O39" s="19"/>
    </row>
    <row r="40" spans="1:15" ht="14.4" x14ac:dyDescent="0.35">
      <c r="A40" s="11"/>
      <c r="B40" s="18"/>
      <c r="C40" s="19" t="s">
        <v>152</v>
      </c>
      <c r="D40" s="131">
        <v>28.05</v>
      </c>
      <c r="E40" s="131">
        <v>18.57</v>
      </c>
      <c r="F40" s="131">
        <v>19.12</v>
      </c>
      <c r="G40" s="131">
        <v>21.39</v>
      </c>
      <c r="H40" s="19"/>
      <c r="I40" s="20"/>
      <c r="J40" s="18"/>
      <c r="K40" s="19"/>
      <c r="L40" s="19"/>
      <c r="M40" s="19"/>
      <c r="N40" s="19"/>
      <c r="O40" s="19"/>
    </row>
    <row r="41" spans="1:15" ht="14.4" x14ac:dyDescent="0.35">
      <c r="A41" s="11"/>
      <c r="B41" s="18"/>
      <c r="C41" s="19" t="s">
        <v>153</v>
      </c>
      <c r="D41" s="32">
        <v>0.1</v>
      </c>
      <c r="E41" s="32">
        <v>0.1</v>
      </c>
      <c r="F41" s="32">
        <v>0.1</v>
      </c>
      <c r="G41" s="32">
        <v>0.1</v>
      </c>
      <c r="H41" s="19"/>
      <c r="I41" s="20"/>
      <c r="J41" s="18"/>
      <c r="K41" s="19"/>
      <c r="L41" s="19"/>
      <c r="M41" s="19"/>
      <c r="N41" s="19"/>
      <c r="O41" s="19"/>
    </row>
    <row r="42" spans="1:15" ht="14.4" x14ac:dyDescent="0.35">
      <c r="A42" s="11"/>
      <c r="B42" s="18"/>
      <c r="C42" s="19"/>
      <c r="D42" s="32"/>
      <c r="E42" s="32"/>
      <c r="F42" s="32"/>
      <c r="G42" s="32"/>
      <c r="H42" s="19"/>
      <c r="I42" s="19"/>
      <c r="J42" s="18"/>
      <c r="K42" s="19"/>
      <c r="L42" s="19"/>
      <c r="M42" s="19"/>
      <c r="N42" s="19"/>
      <c r="O42" s="19"/>
    </row>
    <row r="43" spans="1:15" ht="14.4" x14ac:dyDescent="0.35">
      <c r="A43" s="11"/>
      <c r="B43" s="18"/>
      <c r="C43" s="19"/>
      <c r="D43" s="32"/>
      <c r="E43" s="32"/>
      <c r="F43" s="32"/>
      <c r="G43" s="32"/>
      <c r="H43" s="19"/>
      <c r="I43" s="20"/>
      <c r="J43" s="18"/>
      <c r="K43" s="19"/>
      <c r="L43" s="19"/>
      <c r="M43" s="19"/>
      <c r="N43" s="19"/>
      <c r="O43" s="19"/>
    </row>
    <row r="44" spans="1:15" ht="14.4" x14ac:dyDescent="0.35">
      <c r="A44" s="11"/>
      <c r="B44" s="137"/>
      <c r="C44" s="137" t="s">
        <v>162</v>
      </c>
      <c r="D44" s="145">
        <v>16.100000000000001</v>
      </c>
      <c r="E44" s="145">
        <f>0.178*100</f>
        <v>17.8</v>
      </c>
      <c r="F44" s="145">
        <f>0.13*100</f>
        <v>13</v>
      </c>
      <c r="G44" s="145">
        <f>0.132*100</f>
        <v>13.200000000000001</v>
      </c>
      <c r="H44" s="19"/>
      <c r="I44" s="19"/>
      <c r="J44" s="18"/>
      <c r="K44" s="19"/>
      <c r="L44" s="19"/>
      <c r="M44" s="19"/>
      <c r="N44" s="19"/>
      <c r="O44" s="19"/>
    </row>
    <row r="45" spans="1:15" ht="15" x14ac:dyDescent="0.35">
      <c r="A45" s="11"/>
      <c r="B45" s="140"/>
      <c r="C45" s="141"/>
      <c r="D45" s="142"/>
      <c r="E45" s="142"/>
      <c r="F45" s="142"/>
      <c r="G45" s="142"/>
      <c r="H45" s="19"/>
      <c r="I45" s="19"/>
      <c r="J45" s="18"/>
      <c r="K45" s="19"/>
      <c r="L45" s="19"/>
      <c r="M45" s="19"/>
      <c r="N45" s="19"/>
      <c r="O45" s="19"/>
    </row>
    <row r="46" spans="1:15" ht="14.4" x14ac:dyDescent="0.35">
      <c r="A46" s="11"/>
      <c r="B46" s="137"/>
      <c r="C46" s="137"/>
      <c r="D46" s="139"/>
      <c r="E46" s="139"/>
      <c r="F46" s="139"/>
      <c r="G46" s="139"/>
      <c r="H46" s="19"/>
      <c r="I46" s="20"/>
      <c r="J46" s="18"/>
      <c r="K46" s="19"/>
      <c r="L46" s="19"/>
      <c r="M46" s="19"/>
      <c r="N46" s="19"/>
      <c r="O46" s="19"/>
    </row>
    <row r="47" spans="1:15" ht="14.4" x14ac:dyDescent="0.35">
      <c r="A47" s="11"/>
      <c r="B47" s="18"/>
      <c r="C47" s="19"/>
      <c r="D47" s="32"/>
      <c r="E47" s="32"/>
      <c r="F47" s="32"/>
      <c r="G47" s="32"/>
      <c r="H47" s="19"/>
      <c r="I47" s="19"/>
      <c r="J47" s="18"/>
      <c r="K47" s="19"/>
      <c r="L47" s="19"/>
      <c r="M47" s="19"/>
      <c r="N47" s="19"/>
      <c r="O47" s="19"/>
    </row>
    <row r="48" spans="1:15" ht="14.4" x14ac:dyDescent="0.35">
      <c r="A48" s="11"/>
      <c r="B48" s="18"/>
      <c r="C48" s="19"/>
      <c r="D48" s="32"/>
      <c r="E48" s="32"/>
      <c r="F48" s="32"/>
      <c r="G48" s="32"/>
      <c r="H48" s="19"/>
      <c r="I48" s="19"/>
      <c r="J48" s="18"/>
      <c r="K48" s="19"/>
      <c r="L48" s="19"/>
      <c r="M48" s="19"/>
      <c r="N48" s="19"/>
      <c r="O48" s="19"/>
    </row>
    <row r="49" spans="1:15" ht="14.4" x14ac:dyDescent="0.35">
      <c r="A49" s="19"/>
      <c r="B49" s="18"/>
      <c r="C49" s="19"/>
      <c r="D49" s="32"/>
      <c r="E49" s="32"/>
      <c r="F49" s="32"/>
      <c r="G49" s="32"/>
      <c r="H49" s="19"/>
      <c r="I49" s="19"/>
      <c r="J49" s="18"/>
      <c r="K49" s="19"/>
      <c r="L49" s="19"/>
      <c r="M49" s="19"/>
      <c r="N49" s="19"/>
      <c r="O49" s="19"/>
    </row>
    <row r="50" spans="1:15" ht="14.4" x14ac:dyDescent="0.35">
      <c r="A50" s="19"/>
      <c r="B50" s="18"/>
      <c r="C50" s="19"/>
      <c r="D50" s="32"/>
      <c r="E50" s="32"/>
      <c r="F50" s="32"/>
      <c r="G50" s="32"/>
      <c r="H50" s="19"/>
      <c r="I50" s="19"/>
      <c r="J50" s="18"/>
      <c r="K50" s="19"/>
      <c r="L50" s="19"/>
      <c r="M50" s="19"/>
      <c r="N50" s="19"/>
      <c r="O50" s="19"/>
    </row>
    <row r="51" spans="1:15" ht="14.4" x14ac:dyDescent="0.35">
      <c r="A51" s="19"/>
      <c r="B51" s="18"/>
      <c r="C51" s="19"/>
      <c r="D51" s="32"/>
      <c r="E51" s="32"/>
      <c r="F51" s="32"/>
      <c r="G51" s="32"/>
      <c r="H51" s="19"/>
      <c r="I51" s="19"/>
      <c r="J51" s="18"/>
      <c r="K51" s="19"/>
      <c r="L51" s="19"/>
      <c r="M51" s="19"/>
      <c r="N51" s="19"/>
      <c r="O51" s="19"/>
    </row>
    <row r="52" spans="1:15" ht="14.4" x14ac:dyDescent="0.35">
      <c r="A52" s="19"/>
      <c r="B52" s="18"/>
      <c r="C52" s="19"/>
      <c r="D52" s="32"/>
      <c r="E52" s="32"/>
      <c r="F52" s="32"/>
      <c r="G52" s="32"/>
      <c r="H52" s="19"/>
      <c r="I52" s="19"/>
      <c r="J52" s="18"/>
      <c r="K52" s="19"/>
      <c r="L52" s="19"/>
      <c r="M52" s="19"/>
      <c r="N52" s="19"/>
      <c r="O52" s="19"/>
    </row>
    <row r="53" spans="1:15" ht="14.4" x14ac:dyDescent="0.35">
      <c r="A53" s="19"/>
      <c r="B53" s="18"/>
      <c r="C53" s="19"/>
      <c r="D53" s="32"/>
      <c r="E53" s="32"/>
      <c r="F53" s="32"/>
      <c r="G53" s="32"/>
      <c r="H53" s="19"/>
      <c r="I53" s="19"/>
      <c r="J53" s="18"/>
      <c r="K53" s="19"/>
      <c r="L53" s="19"/>
      <c r="M53" s="19"/>
      <c r="N53" s="19"/>
      <c r="O53" s="19"/>
    </row>
    <row r="54" spans="1:15" ht="14.4" x14ac:dyDescent="0.35">
      <c r="A54" s="19"/>
      <c r="B54" s="18"/>
      <c r="C54" s="19"/>
      <c r="D54" s="32"/>
      <c r="E54" s="32"/>
      <c r="F54" s="32"/>
      <c r="G54" s="32"/>
      <c r="H54" s="19"/>
      <c r="I54" s="19"/>
      <c r="J54" s="18"/>
      <c r="K54" s="19"/>
      <c r="L54" s="19"/>
      <c r="M54" s="19"/>
      <c r="N54" s="19"/>
      <c r="O54" s="19"/>
    </row>
    <row r="55" spans="1:15" ht="14.4" x14ac:dyDescent="0.35">
      <c r="A55" s="19"/>
      <c r="B55" s="18"/>
      <c r="C55" s="19"/>
      <c r="D55" s="32"/>
      <c r="E55" s="32"/>
      <c r="F55" s="32"/>
      <c r="G55" s="32"/>
      <c r="H55" s="19"/>
      <c r="I55" s="19"/>
      <c r="J55" s="18"/>
      <c r="K55" s="19"/>
      <c r="L55" s="19"/>
      <c r="M55" s="19"/>
      <c r="N55" s="19"/>
      <c r="O55" s="19"/>
    </row>
    <row r="56" spans="1:15" ht="14.4" x14ac:dyDescent="0.35">
      <c r="A56" s="19"/>
      <c r="B56" s="18"/>
      <c r="C56" s="19"/>
      <c r="D56" s="32"/>
      <c r="E56" s="32"/>
      <c r="F56" s="32"/>
      <c r="G56" s="32"/>
      <c r="H56" s="19"/>
      <c r="I56" s="19"/>
      <c r="J56" s="18"/>
      <c r="K56" s="19"/>
      <c r="L56" s="19"/>
      <c r="M56" s="19"/>
      <c r="N56" s="19"/>
      <c r="O56" s="19"/>
    </row>
    <row r="57" spans="1:15" ht="14.4" x14ac:dyDescent="0.35">
      <c r="A57" s="19"/>
      <c r="B57" s="18"/>
      <c r="C57" s="19"/>
      <c r="D57" s="32"/>
      <c r="E57" s="32"/>
      <c r="F57" s="32"/>
      <c r="G57" s="32"/>
      <c r="H57" s="19"/>
      <c r="I57" s="19"/>
      <c r="J57" s="18"/>
      <c r="K57" s="19"/>
      <c r="L57" s="19"/>
      <c r="M57" s="19"/>
      <c r="N57" s="19"/>
      <c r="O57" s="19"/>
    </row>
    <row r="58" spans="1:15" ht="14.4" x14ac:dyDescent="0.35">
      <c r="A58" s="19"/>
      <c r="B58" s="18"/>
      <c r="C58" s="19"/>
      <c r="D58" s="32"/>
      <c r="E58" s="32"/>
      <c r="F58" s="32"/>
      <c r="G58" s="32"/>
      <c r="H58" s="19"/>
      <c r="I58" s="20"/>
      <c r="J58" s="18"/>
      <c r="K58" s="19"/>
      <c r="L58" s="19"/>
      <c r="M58" s="19"/>
      <c r="N58" s="19"/>
      <c r="O58" s="19"/>
    </row>
    <row r="59" spans="1:15" ht="14.4" x14ac:dyDescent="0.35">
      <c r="A59" s="19"/>
      <c r="B59" s="18"/>
      <c r="C59" s="19"/>
      <c r="D59" s="32"/>
      <c r="E59" s="32"/>
      <c r="F59" s="32"/>
      <c r="G59" s="32"/>
      <c r="H59" s="19"/>
      <c r="I59" s="19"/>
      <c r="J59" s="18"/>
      <c r="K59" s="19"/>
      <c r="L59" s="19"/>
      <c r="M59" s="19"/>
      <c r="N59" s="19"/>
      <c r="O59" s="19"/>
    </row>
    <row r="60" spans="1:15" ht="14.4" x14ac:dyDescent="0.35">
      <c r="A60" s="19"/>
      <c r="B60" s="18"/>
      <c r="C60" s="19"/>
      <c r="D60" s="32"/>
      <c r="E60" s="32"/>
      <c r="F60" s="32"/>
      <c r="G60" s="32"/>
      <c r="H60" s="19"/>
      <c r="I60" s="20"/>
      <c r="J60" s="18"/>
      <c r="K60" s="19"/>
      <c r="L60" s="19"/>
      <c r="M60" s="19"/>
      <c r="N60" s="19"/>
      <c r="O60" s="19"/>
    </row>
    <row r="61" spans="1:15" ht="14.4" x14ac:dyDescent="0.35">
      <c r="A61" s="19"/>
      <c r="B61" s="18"/>
      <c r="C61" s="19"/>
      <c r="D61" s="32"/>
      <c r="E61" s="32"/>
      <c r="F61" s="32"/>
      <c r="G61" s="32"/>
      <c r="H61" s="19"/>
      <c r="I61" s="19"/>
      <c r="J61" s="18"/>
      <c r="K61" s="19"/>
      <c r="L61" s="19"/>
      <c r="M61" s="19"/>
      <c r="N61" s="19"/>
      <c r="O61" s="19"/>
    </row>
    <row r="62" spans="1:15" ht="14.4" x14ac:dyDescent="0.35">
      <c r="A62" s="19"/>
      <c r="B62" s="18"/>
      <c r="C62" s="19"/>
      <c r="D62" s="32"/>
      <c r="E62" s="32"/>
      <c r="F62" s="32"/>
      <c r="G62" s="32"/>
      <c r="H62" s="19"/>
      <c r="I62" s="20"/>
      <c r="J62" s="18"/>
      <c r="K62" s="19"/>
      <c r="L62" s="19"/>
      <c r="M62" s="19"/>
      <c r="N62" s="19"/>
      <c r="O62" s="19"/>
    </row>
    <row r="63" spans="1:15" ht="14.4" x14ac:dyDescent="0.35">
      <c r="A63" s="19"/>
      <c r="B63" s="18"/>
      <c r="C63" s="19"/>
      <c r="D63" s="32"/>
      <c r="E63" s="32"/>
      <c r="F63" s="32"/>
      <c r="G63" s="32"/>
      <c r="H63" s="19"/>
      <c r="I63" s="19"/>
      <c r="J63" s="18"/>
      <c r="K63" s="19"/>
      <c r="L63" s="19"/>
      <c r="M63" s="19"/>
      <c r="N63" s="19"/>
      <c r="O63" s="19"/>
    </row>
    <row r="64" spans="1:15" ht="14.4" x14ac:dyDescent="0.35">
      <c r="A64" s="19"/>
      <c r="B64" s="18"/>
      <c r="C64" s="19"/>
      <c r="D64" s="32"/>
      <c r="E64" s="32"/>
      <c r="F64" s="32"/>
      <c r="G64" s="32"/>
      <c r="H64" s="19"/>
      <c r="I64" s="20"/>
      <c r="J64" s="18"/>
      <c r="K64" s="19"/>
      <c r="L64" s="19"/>
      <c r="M64" s="19"/>
      <c r="N64" s="19"/>
      <c r="O64" s="19"/>
    </row>
    <row r="65" spans="1:15" ht="14.4" x14ac:dyDescent="0.35">
      <c r="A65" s="11"/>
      <c r="B65" s="18"/>
      <c r="C65" s="19"/>
      <c r="D65" s="32"/>
      <c r="E65" s="32"/>
      <c r="F65" s="32"/>
      <c r="G65" s="32"/>
      <c r="H65" s="19"/>
      <c r="I65" s="19"/>
      <c r="J65" s="18"/>
      <c r="K65" s="19"/>
      <c r="L65" s="19"/>
      <c r="M65" s="19"/>
      <c r="N65" s="19"/>
      <c r="O65" s="19"/>
    </row>
    <row r="66" spans="1:15" ht="14.4" x14ac:dyDescent="0.35">
      <c r="A66" s="11"/>
      <c r="B66" s="18"/>
      <c r="C66" s="19"/>
      <c r="D66" s="32"/>
      <c r="E66" s="32"/>
      <c r="F66" s="32"/>
      <c r="G66" s="32"/>
      <c r="H66" s="19"/>
      <c r="I66" s="20"/>
      <c r="J66" s="18"/>
      <c r="K66" s="19"/>
      <c r="L66" s="19"/>
      <c r="M66" s="19"/>
      <c r="N66" s="19"/>
      <c r="O66" s="19"/>
    </row>
    <row r="67" spans="1:15" ht="14.4" x14ac:dyDescent="0.35">
      <c r="A67" s="11"/>
      <c r="B67" s="18"/>
      <c r="C67" s="19"/>
      <c r="D67" s="33"/>
      <c r="E67" s="33"/>
      <c r="F67" s="33"/>
      <c r="G67" s="33"/>
      <c r="H67" s="19"/>
      <c r="I67" s="19"/>
      <c r="J67" s="18"/>
      <c r="K67" s="19"/>
      <c r="L67" s="19"/>
      <c r="M67" s="19"/>
      <c r="N67" s="19"/>
      <c r="O67" s="19"/>
    </row>
    <row r="68" spans="1:15" ht="14.4" x14ac:dyDescent="0.35">
      <c r="A68" s="11"/>
      <c r="B68" s="21"/>
      <c r="C68" s="22"/>
      <c r="D68" s="34"/>
      <c r="E68" s="34"/>
      <c r="F68" s="34"/>
      <c r="G68" s="35"/>
      <c r="H68" s="19"/>
      <c r="I68" s="19"/>
      <c r="J68" s="18"/>
      <c r="K68" s="19"/>
      <c r="L68" s="19"/>
      <c r="M68" s="19"/>
      <c r="N68" s="19"/>
      <c r="O68" s="19"/>
    </row>
    <row r="69" spans="1:15" ht="14.4" x14ac:dyDescent="0.35">
      <c r="A69" s="11"/>
      <c r="B69" s="21"/>
      <c r="C69" s="22"/>
      <c r="D69" s="34"/>
      <c r="E69" s="34"/>
      <c r="F69" s="34"/>
      <c r="G69" s="35"/>
      <c r="H69" s="19"/>
      <c r="I69" s="19"/>
      <c r="J69" s="18"/>
      <c r="K69" s="19"/>
      <c r="L69" s="19"/>
      <c r="M69" s="19"/>
      <c r="N69" s="19"/>
      <c r="O69" s="19"/>
    </row>
    <row r="70" spans="1:15" ht="14.4" x14ac:dyDescent="0.35">
      <c r="A70" s="11"/>
      <c r="B70" s="21"/>
      <c r="C70" s="22"/>
      <c r="D70" s="34"/>
      <c r="E70" s="34"/>
      <c r="F70" s="34"/>
      <c r="G70" s="35"/>
      <c r="H70" s="19"/>
      <c r="I70" s="19"/>
      <c r="J70" s="18"/>
      <c r="K70" s="19"/>
      <c r="L70" s="19"/>
      <c r="M70" s="19"/>
      <c r="N70" s="19"/>
      <c r="O70" s="19"/>
    </row>
    <row r="71" spans="1:15" ht="14.4" x14ac:dyDescent="0.35">
      <c r="A71" s="11"/>
      <c r="B71" s="21"/>
      <c r="C71" s="22"/>
      <c r="D71" s="34"/>
      <c r="E71" s="34"/>
      <c r="F71" s="34"/>
      <c r="G71" s="35"/>
      <c r="H71" s="19"/>
      <c r="I71" s="19"/>
      <c r="J71" s="18"/>
      <c r="K71" s="19"/>
      <c r="L71" s="19"/>
      <c r="M71" s="19"/>
      <c r="N71" s="19"/>
      <c r="O71" s="19"/>
    </row>
    <row r="72" spans="1:15" ht="14.4" x14ac:dyDescent="0.35">
      <c r="A72" s="11"/>
      <c r="B72" s="21"/>
      <c r="C72" s="22"/>
      <c r="D72" s="34"/>
      <c r="E72" s="34"/>
      <c r="F72" s="34"/>
      <c r="G72" s="35"/>
      <c r="H72" s="19"/>
      <c r="I72" s="19"/>
      <c r="J72" s="18"/>
      <c r="K72" s="19"/>
      <c r="L72" s="19"/>
      <c r="M72" s="19"/>
      <c r="N72" s="19"/>
      <c r="O72" s="19"/>
    </row>
    <row r="73" spans="1:15" ht="14.4" x14ac:dyDescent="0.35">
      <c r="A73" s="11"/>
      <c r="B73" s="21"/>
      <c r="C73" s="22"/>
      <c r="D73" s="34"/>
      <c r="E73" s="34"/>
      <c r="F73" s="34"/>
      <c r="G73" s="35"/>
      <c r="H73" s="19"/>
      <c r="I73" s="19"/>
      <c r="J73" s="18"/>
      <c r="K73" s="19"/>
      <c r="L73" s="19"/>
      <c r="M73" s="19"/>
      <c r="N73" s="19"/>
      <c r="O73" s="19"/>
    </row>
    <row r="74" spans="1:15" ht="14.4" x14ac:dyDescent="0.35">
      <c r="A74" s="11"/>
      <c r="B74" s="21"/>
      <c r="C74" s="22"/>
      <c r="D74" s="34"/>
      <c r="E74" s="34"/>
      <c r="F74" s="34"/>
      <c r="G74" s="35"/>
      <c r="H74" s="19"/>
      <c r="I74" s="19"/>
      <c r="J74" s="18"/>
      <c r="K74" s="19"/>
      <c r="L74" s="19"/>
      <c r="M74" s="19"/>
      <c r="N74" s="19"/>
      <c r="O74" s="19"/>
    </row>
    <row r="75" spans="1:15" ht="14.4" x14ac:dyDescent="0.35">
      <c r="A75" s="11"/>
      <c r="B75" s="21"/>
      <c r="C75" s="22"/>
      <c r="D75" s="34"/>
      <c r="E75" s="34"/>
      <c r="F75" s="34"/>
      <c r="G75" s="35"/>
      <c r="H75" s="19"/>
      <c r="I75" s="19"/>
      <c r="J75" s="18"/>
      <c r="K75" s="19"/>
      <c r="L75" s="19"/>
      <c r="M75" s="19"/>
      <c r="N75" s="19"/>
      <c r="O75" s="19"/>
    </row>
    <row r="76" spans="1:15" ht="14.4" x14ac:dyDescent="0.35">
      <c r="A76" s="11"/>
      <c r="B76" s="21"/>
      <c r="C76" s="22"/>
      <c r="D76" s="34"/>
      <c r="E76" s="34"/>
      <c r="F76" s="34"/>
      <c r="G76" s="35"/>
      <c r="H76" s="19"/>
      <c r="I76" s="19"/>
      <c r="J76" s="18"/>
      <c r="K76" s="19"/>
      <c r="L76" s="19"/>
      <c r="M76" s="19"/>
      <c r="N76" s="19"/>
      <c r="O76" s="19"/>
    </row>
    <row r="77" spans="1:15" ht="14.4" x14ac:dyDescent="0.35">
      <c r="A77" s="11"/>
      <c r="B77" s="21"/>
      <c r="C77" s="22"/>
      <c r="D77" s="34"/>
      <c r="E77" s="34"/>
      <c r="F77" s="34"/>
      <c r="G77" s="35"/>
      <c r="H77" s="19"/>
      <c r="I77" s="19"/>
      <c r="J77" s="18"/>
      <c r="K77" s="19"/>
      <c r="L77" s="19"/>
      <c r="M77" s="19"/>
      <c r="N77" s="19"/>
      <c r="O77" s="19"/>
    </row>
    <row r="78" spans="1:15" ht="14.4" x14ac:dyDescent="0.35">
      <c r="A78" s="11"/>
      <c r="B78" s="21"/>
      <c r="C78" s="22"/>
      <c r="D78" s="34"/>
      <c r="E78" s="34"/>
      <c r="F78" s="34"/>
      <c r="G78" s="35"/>
      <c r="H78" s="20"/>
      <c r="I78" s="20"/>
      <c r="J78" s="18"/>
      <c r="K78" s="19"/>
      <c r="L78" s="19"/>
      <c r="M78" s="19"/>
      <c r="N78" s="19"/>
      <c r="O78" s="19"/>
    </row>
    <row r="79" spans="1:15" ht="14.4" x14ac:dyDescent="0.35">
      <c r="A79" s="11"/>
      <c r="B79" s="21"/>
      <c r="C79" s="22"/>
      <c r="D79" s="34"/>
      <c r="E79" s="34"/>
      <c r="F79" s="34"/>
      <c r="G79" s="35"/>
      <c r="H79" s="19"/>
      <c r="I79" s="19"/>
      <c r="J79" s="18"/>
      <c r="K79" s="19"/>
      <c r="L79" s="19"/>
      <c r="M79" s="19"/>
      <c r="N79" s="19"/>
      <c r="O79" s="19"/>
    </row>
    <row r="80" spans="1:15" ht="14.4" x14ac:dyDescent="0.35">
      <c r="A80" s="11"/>
      <c r="B80" s="21"/>
      <c r="C80" s="22"/>
      <c r="D80" s="34"/>
      <c r="E80" s="34"/>
      <c r="F80" s="34"/>
      <c r="G80" s="35"/>
      <c r="H80" s="19"/>
      <c r="I80" s="19"/>
      <c r="J80" s="18"/>
      <c r="K80" s="19"/>
      <c r="L80" s="19"/>
      <c r="M80" s="19"/>
      <c r="N80" s="19"/>
      <c r="O80" s="19"/>
    </row>
    <row r="81" spans="1:15" ht="14.4" x14ac:dyDescent="0.35">
      <c r="A81" s="19"/>
      <c r="B81" s="21"/>
      <c r="C81" s="22"/>
      <c r="D81" s="34"/>
      <c r="E81" s="34"/>
      <c r="F81" s="34"/>
      <c r="G81" s="35"/>
      <c r="H81" s="19"/>
      <c r="I81" s="19"/>
      <c r="J81" s="18"/>
      <c r="K81" s="19"/>
      <c r="L81" s="19"/>
      <c r="M81" s="19"/>
      <c r="N81" s="19"/>
      <c r="O81" s="19"/>
    </row>
    <row r="82" spans="1:15" ht="14.4" x14ac:dyDescent="0.35">
      <c r="A82" s="19"/>
      <c r="B82" s="21"/>
      <c r="C82" s="22"/>
      <c r="D82" s="34"/>
      <c r="E82" s="34"/>
      <c r="F82" s="34"/>
      <c r="G82" s="35"/>
      <c r="H82" s="19"/>
      <c r="I82" s="19"/>
      <c r="J82" s="18"/>
      <c r="K82" s="19"/>
      <c r="L82" s="19"/>
      <c r="M82" s="19"/>
      <c r="N82" s="19"/>
      <c r="O82" s="19"/>
    </row>
    <row r="83" spans="1:15" ht="14.4" x14ac:dyDescent="0.35">
      <c r="A83" s="19"/>
      <c r="B83" s="21"/>
      <c r="C83" s="22"/>
      <c r="D83" s="34"/>
      <c r="E83" s="34"/>
      <c r="F83" s="34"/>
      <c r="G83" s="35"/>
      <c r="H83" s="19"/>
      <c r="I83" s="19"/>
      <c r="J83" s="18"/>
      <c r="K83" s="19"/>
      <c r="L83" s="19"/>
      <c r="M83" s="19"/>
      <c r="N83" s="19"/>
      <c r="O83" s="19"/>
    </row>
    <row r="84" spans="1:15" ht="14.4" x14ac:dyDescent="0.35">
      <c r="A84" s="19"/>
      <c r="B84" s="21"/>
      <c r="C84" s="22"/>
      <c r="D84" s="34"/>
      <c r="E84" s="34"/>
      <c r="F84" s="34"/>
      <c r="G84" s="35"/>
      <c r="H84" s="19"/>
      <c r="I84" s="19"/>
      <c r="J84" s="18"/>
      <c r="K84" s="19"/>
      <c r="L84" s="19"/>
      <c r="M84" s="19"/>
      <c r="N84" s="19"/>
      <c r="O84" s="19"/>
    </row>
    <row r="85" spans="1:15" ht="14.4" x14ac:dyDescent="0.35">
      <c r="A85" s="19"/>
      <c r="B85" s="21"/>
      <c r="C85" s="22"/>
      <c r="D85" s="34"/>
      <c r="E85" s="34"/>
      <c r="F85" s="34"/>
      <c r="G85" s="35"/>
      <c r="H85" s="19"/>
      <c r="I85" s="19"/>
      <c r="J85" s="18"/>
      <c r="K85" s="19"/>
      <c r="L85" s="19"/>
      <c r="M85" s="19"/>
      <c r="N85" s="19"/>
      <c r="O85" s="19"/>
    </row>
    <row r="86" spans="1:15" ht="14.4" x14ac:dyDescent="0.35">
      <c r="A86" s="19"/>
      <c r="B86" s="21"/>
      <c r="C86" s="22"/>
      <c r="D86" s="34"/>
      <c r="E86" s="34"/>
      <c r="F86" s="34"/>
      <c r="G86" s="35"/>
      <c r="H86" s="19"/>
      <c r="I86" s="19"/>
      <c r="J86" s="18"/>
      <c r="K86" s="19"/>
      <c r="L86" s="19"/>
      <c r="M86" s="19"/>
      <c r="N86" s="19"/>
      <c r="O86" s="19"/>
    </row>
    <row r="87" spans="1:15" ht="14.4" x14ac:dyDescent="0.35">
      <c r="A87" s="19"/>
      <c r="B87" s="21"/>
      <c r="C87" s="22"/>
      <c r="D87" s="34"/>
      <c r="E87" s="34"/>
      <c r="F87" s="34"/>
      <c r="G87" s="35"/>
      <c r="H87" s="19"/>
      <c r="I87" s="19"/>
      <c r="J87" s="18"/>
      <c r="K87" s="19"/>
      <c r="L87" s="19"/>
      <c r="M87" s="19"/>
      <c r="N87" s="19"/>
      <c r="O87" s="19"/>
    </row>
    <row r="88" spans="1:15" ht="14.4" x14ac:dyDescent="0.35">
      <c r="A88" s="19"/>
      <c r="B88" s="21"/>
      <c r="C88" s="22"/>
      <c r="D88" s="34"/>
      <c r="E88" s="34"/>
      <c r="F88" s="34"/>
      <c r="G88" s="35"/>
      <c r="H88" s="19"/>
      <c r="I88" s="19"/>
      <c r="J88" s="18"/>
      <c r="K88" s="19"/>
      <c r="L88" s="19"/>
      <c r="M88" s="19"/>
      <c r="N88" s="19"/>
      <c r="O88" s="19"/>
    </row>
    <row r="89" spans="1:15" ht="14.4" x14ac:dyDescent="0.35">
      <c r="A89" s="19"/>
      <c r="B89" s="21"/>
      <c r="C89" s="22"/>
      <c r="D89" s="34"/>
      <c r="E89" s="34"/>
      <c r="F89" s="34"/>
      <c r="G89" s="35"/>
      <c r="H89" s="19"/>
      <c r="I89" s="19"/>
      <c r="J89" s="18"/>
      <c r="K89" s="19"/>
      <c r="L89" s="19"/>
      <c r="M89" s="19"/>
      <c r="N89" s="19"/>
      <c r="O89" s="19"/>
    </row>
    <row r="90" spans="1:15" ht="14.4" x14ac:dyDescent="0.35">
      <c r="A90" s="19"/>
      <c r="B90" s="21"/>
      <c r="C90" s="22"/>
      <c r="D90" s="34"/>
      <c r="E90" s="34"/>
      <c r="F90" s="34"/>
      <c r="G90" s="35"/>
      <c r="H90" s="19"/>
      <c r="I90" s="19"/>
      <c r="J90" s="18"/>
      <c r="K90" s="19"/>
      <c r="L90" s="19"/>
      <c r="M90" s="19"/>
      <c r="N90" s="19"/>
      <c r="O90" s="19"/>
    </row>
    <row r="91" spans="1:15" ht="14.4" x14ac:dyDescent="0.35">
      <c r="A91" s="19"/>
      <c r="B91" s="21"/>
      <c r="C91" s="22"/>
      <c r="D91" s="34"/>
      <c r="E91" s="34"/>
      <c r="F91" s="34"/>
      <c r="G91" s="35"/>
      <c r="H91" s="19"/>
      <c r="I91" s="19"/>
      <c r="J91" s="18"/>
      <c r="K91" s="19"/>
      <c r="L91" s="19"/>
      <c r="M91" s="19"/>
      <c r="N91" s="19"/>
      <c r="O91" s="19"/>
    </row>
    <row r="92" spans="1:15" ht="14.4" x14ac:dyDescent="0.35">
      <c r="A92" s="19"/>
      <c r="B92" s="21"/>
      <c r="C92" s="22"/>
      <c r="D92" s="34"/>
      <c r="E92" s="34"/>
      <c r="F92" s="34"/>
      <c r="G92" s="35"/>
      <c r="H92" s="23"/>
      <c r="I92" s="23"/>
      <c r="J92" s="18"/>
      <c r="K92" s="19"/>
      <c r="L92" s="19"/>
      <c r="M92" s="19"/>
      <c r="N92" s="19"/>
      <c r="O92" s="19"/>
    </row>
    <row r="93" spans="1:15" ht="14.4" x14ac:dyDescent="0.35">
      <c r="A93" s="19"/>
      <c r="B93" s="21"/>
      <c r="C93" s="22"/>
      <c r="D93" s="34"/>
      <c r="E93" s="34"/>
      <c r="F93" s="34"/>
      <c r="G93" s="35"/>
      <c r="H93" s="23"/>
      <c r="I93" s="23"/>
      <c r="J93" s="18"/>
      <c r="K93" s="19"/>
      <c r="L93" s="19"/>
      <c r="M93" s="19"/>
      <c r="N93" s="19"/>
      <c r="O93" s="19"/>
    </row>
    <row r="94" spans="1:15" ht="14.4" x14ac:dyDescent="0.35">
      <c r="A94" s="19"/>
      <c r="B94" s="21"/>
      <c r="C94" s="22"/>
      <c r="D94" s="34"/>
      <c r="E94" s="34"/>
      <c r="F94" s="34"/>
      <c r="G94" s="35"/>
      <c r="H94" s="23"/>
      <c r="I94" s="23"/>
      <c r="J94" s="18"/>
      <c r="K94" s="19"/>
      <c r="L94" s="19"/>
      <c r="M94" s="19"/>
      <c r="N94" s="19"/>
      <c r="O94" s="19"/>
    </row>
    <row r="95" spans="1:15" ht="14.4" x14ac:dyDescent="0.35">
      <c r="A95" s="19"/>
      <c r="B95" s="21"/>
      <c r="C95" s="22"/>
      <c r="D95" s="34"/>
      <c r="E95" s="34"/>
      <c r="F95" s="34"/>
      <c r="G95" s="35"/>
      <c r="H95" s="19"/>
      <c r="I95" s="19"/>
      <c r="J95" s="18"/>
      <c r="K95" s="19"/>
      <c r="L95" s="19"/>
      <c r="M95" s="19"/>
      <c r="N95" s="19"/>
      <c r="O95" s="19"/>
    </row>
    <row r="96" spans="1:15" ht="14.4" x14ac:dyDescent="0.35">
      <c r="A96" s="19"/>
      <c r="B96" s="21"/>
      <c r="C96" s="22"/>
      <c r="D96" s="34"/>
      <c r="E96" s="34"/>
      <c r="F96" s="34"/>
      <c r="G96" s="35"/>
      <c r="H96" s="19"/>
      <c r="I96" s="19"/>
      <c r="J96" s="18"/>
      <c r="K96" s="19"/>
      <c r="L96" s="19"/>
      <c r="M96" s="19"/>
      <c r="N96" s="19"/>
      <c r="O96" s="19"/>
    </row>
    <row r="97" spans="1:15" ht="14.4" x14ac:dyDescent="0.35">
      <c r="A97" s="19"/>
      <c r="B97" s="21"/>
      <c r="C97" s="22"/>
      <c r="D97" s="34"/>
      <c r="E97" s="34"/>
      <c r="F97" s="34"/>
      <c r="G97" s="35"/>
      <c r="H97" s="19"/>
      <c r="I97" s="19"/>
      <c r="J97" s="18"/>
      <c r="K97" s="19"/>
      <c r="L97" s="19"/>
      <c r="M97" s="19"/>
      <c r="N97" s="19"/>
      <c r="O97" s="19"/>
    </row>
    <row r="98" spans="1:15" ht="14.4" x14ac:dyDescent="0.35">
      <c r="A98" s="19"/>
      <c r="B98" s="21"/>
      <c r="C98" s="22"/>
      <c r="D98" s="34"/>
      <c r="E98" s="34"/>
      <c r="F98" s="34"/>
      <c r="G98" s="35"/>
      <c r="H98" s="19"/>
      <c r="I98" s="19"/>
      <c r="J98" s="18"/>
      <c r="K98" s="19"/>
      <c r="L98" s="19"/>
      <c r="M98" s="19"/>
      <c r="N98" s="19"/>
      <c r="O98" s="19"/>
    </row>
    <row r="99" spans="1:15" ht="14.4" x14ac:dyDescent="0.35">
      <c r="A99" s="19"/>
      <c r="B99" s="21"/>
      <c r="C99" s="22"/>
      <c r="D99" s="34"/>
      <c r="E99" s="34"/>
      <c r="F99" s="34"/>
      <c r="G99" s="35"/>
      <c r="H99" s="19"/>
      <c r="I99" s="19"/>
      <c r="J99" s="18"/>
      <c r="K99" s="19"/>
      <c r="L99" s="19"/>
      <c r="M99" s="19"/>
      <c r="N99" s="19"/>
      <c r="O99" s="19"/>
    </row>
    <row r="100" spans="1:15" ht="14.4" x14ac:dyDescent="0.35">
      <c r="A100" s="19"/>
      <c r="B100" s="21"/>
      <c r="C100" s="22"/>
      <c r="D100" s="34"/>
      <c r="E100" s="34"/>
      <c r="F100" s="34"/>
      <c r="G100" s="35"/>
      <c r="H100" s="19"/>
      <c r="I100" s="19"/>
      <c r="J100" s="18"/>
      <c r="K100" s="19"/>
      <c r="L100" s="19"/>
      <c r="M100" s="19"/>
      <c r="N100" s="19"/>
      <c r="O100" s="19"/>
    </row>
    <row r="101" spans="1:15" ht="14.4" x14ac:dyDescent="0.35">
      <c r="A101" s="19"/>
      <c r="B101" s="21"/>
      <c r="C101" s="22"/>
      <c r="D101" s="34"/>
      <c r="E101" s="34"/>
      <c r="F101" s="34"/>
      <c r="G101" s="35"/>
      <c r="H101" s="19"/>
      <c r="I101" s="19"/>
      <c r="J101" s="18"/>
      <c r="K101" s="19"/>
      <c r="L101" s="19"/>
      <c r="M101" s="19"/>
      <c r="N101" s="19"/>
      <c r="O101" s="19"/>
    </row>
    <row r="102" spans="1:15" ht="14.4" x14ac:dyDescent="0.35">
      <c r="A102" s="19"/>
      <c r="B102" s="21"/>
      <c r="C102" s="22"/>
      <c r="D102" s="34"/>
      <c r="E102" s="34"/>
      <c r="F102" s="34"/>
      <c r="G102" s="35"/>
      <c r="H102" s="19"/>
      <c r="I102" s="19"/>
      <c r="J102" s="18"/>
      <c r="K102" s="19"/>
      <c r="L102" s="19"/>
      <c r="M102" s="19"/>
      <c r="N102" s="19"/>
      <c r="O102" s="19"/>
    </row>
    <row r="103" spans="1:15" ht="14.4" x14ac:dyDescent="0.35">
      <c r="A103" s="19"/>
      <c r="B103" s="21"/>
      <c r="C103" s="22"/>
      <c r="D103" s="34"/>
      <c r="E103" s="34"/>
      <c r="F103" s="34"/>
      <c r="G103" s="35"/>
      <c r="H103" s="19"/>
      <c r="I103" s="19"/>
      <c r="J103" s="18"/>
      <c r="K103" s="19"/>
      <c r="L103" s="19"/>
      <c r="M103" s="19"/>
      <c r="N103" s="19"/>
      <c r="O103" s="19"/>
    </row>
    <row r="104" spans="1:15" ht="14.4" x14ac:dyDescent="0.35">
      <c r="A104" s="19"/>
      <c r="B104" s="21"/>
      <c r="C104" s="22"/>
      <c r="D104" s="34"/>
      <c r="E104" s="34"/>
      <c r="F104" s="34"/>
      <c r="G104" s="35"/>
      <c r="H104" s="19"/>
      <c r="I104" s="19"/>
      <c r="J104" s="18"/>
      <c r="K104" s="19"/>
      <c r="L104" s="19"/>
      <c r="M104" s="19"/>
      <c r="N104" s="19"/>
      <c r="O104" s="19"/>
    </row>
    <row r="105" spans="1:15" ht="14.4" x14ac:dyDescent="0.35">
      <c r="A105" s="19"/>
      <c r="B105" s="21"/>
      <c r="C105" s="22"/>
      <c r="D105" s="34"/>
      <c r="E105" s="34"/>
      <c r="F105" s="34"/>
      <c r="G105" s="35"/>
      <c r="H105" s="19"/>
      <c r="I105" s="19"/>
      <c r="J105" s="18"/>
      <c r="K105" s="19"/>
      <c r="L105" s="19"/>
      <c r="M105" s="19"/>
      <c r="N105" s="19"/>
      <c r="O105" s="19"/>
    </row>
    <row r="106" spans="1:15" ht="14.4" x14ac:dyDescent="0.35">
      <c r="A106" s="19"/>
      <c r="B106" s="21"/>
      <c r="C106" s="22"/>
      <c r="D106" s="34"/>
      <c r="E106" s="34"/>
      <c r="F106" s="34"/>
      <c r="G106" s="35"/>
      <c r="H106" s="19"/>
      <c r="I106" s="19"/>
      <c r="J106" s="18"/>
      <c r="K106" s="19"/>
      <c r="L106" s="19"/>
      <c r="M106" s="19"/>
      <c r="N106" s="19"/>
      <c r="O106" s="19"/>
    </row>
    <row r="107" spans="1:15" ht="14.4" x14ac:dyDescent="0.35">
      <c r="A107" s="19"/>
      <c r="B107" s="21"/>
      <c r="C107" s="22"/>
      <c r="D107" s="34"/>
      <c r="E107" s="34"/>
      <c r="F107" s="34"/>
      <c r="G107" s="35"/>
      <c r="H107" s="19"/>
      <c r="I107" s="19"/>
      <c r="J107" s="18"/>
      <c r="K107" s="19"/>
      <c r="L107" s="19"/>
      <c r="M107" s="19"/>
      <c r="N107" s="19"/>
      <c r="O107" s="19"/>
    </row>
    <row r="108" spans="1:15" ht="14.4" x14ac:dyDescent="0.35">
      <c r="A108" s="19"/>
      <c r="B108" s="21"/>
      <c r="C108" s="22"/>
      <c r="D108" s="34"/>
      <c r="E108" s="34"/>
      <c r="F108" s="34"/>
      <c r="G108" s="35"/>
      <c r="H108" s="19"/>
      <c r="I108" s="19"/>
      <c r="J108" s="18"/>
      <c r="K108" s="19"/>
      <c r="L108" s="19"/>
      <c r="M108" s="19"/>
      <c r="N108" s="19"/>
      <c r="O108" s="19"/>
    </row>
    <row r="109" spans="1:15" ht="14.4" x14ac:dyDescent="0.35">
      <c r="A109" s="19"/>
      <c r="B109" s="21"/>
      <c r="C109" s="22"/>
      <c r="D109" s="34"/>
      <c r="E109" s="34"/>
      <c r="F109" s="34"/>
      <c r="G109" s="35"/>
      <c r="H109" s="19"/>
      <c r="I109" s="19"/>
      <c r="J109" s="18"/>
      <c r="K109" s="19"/>
      <c r="L109" s="19"/>
      <c r="M109" s="19"/>
      <c r="N109" s="19"/>
      <c r="O109" s="19"/>
    </row>
    <row r="110" spans="1:15" ht="14.4" x14ac:dyDescent="0.35">
      <c r="A110" s="19"/>
      <c r="B110" s="21"/>
      <c r="C110" s="22"/>
      <c r="D110" s="34"/>
      <c r="E110" s="34"/>
      <c r="F110" s="34"/>
      <c r="G110" s="35"/>
      <c r="H110" s="19"/>
      <c r="I110" s="19"/>
      <c r="J110" s="18"/>
      <c r="K110" s="19"/>
      <c r="L110" s="19"/>
      <c r="M110" s="19"/>
      <c r="N110" s="19"/>
      <c r="O110" s="19"/>
    </row>
    <row r="111" spans="1:15" ht="14.4" x14ac:dyDescent="0.35">
      <c r="A111" s="19"/>
      <c r="B111" s="21"/>
      <c r="C111" s="22"/>
      <c r="D111" s="34"/>
      <c r="E111" s="34"/>
      <c r="F111" s="34"/>
      <c r="G111" s="35"/>
      <c r="H111" s="19"/>
      <c r="I111" s="19"/>
      <c r="J111" s="18"/>
      <c r="K111" s="19"/>
      <c r="L111" s="19"/>
      <c r="M111" s="19"/>
      <c r="N111" s="19"/>
      <c r="O111" s="19"/>
    </row>
    <row r="112" spans="1:15" ht="14.4" x14ac:dyDescent="0.35">
      <c r="A112" s="19"/>
      <c r="B112" s="21"/>
      <c r="C112" s="22"/>
      <c r="D112" s="34"/>
      <c r="E112" s="34"/>
      <c r="F112" s="34"/>
      <c r="G112" s="35"/>
      <c r="H112" s="19"/>
      <c r="I112" s="19"/>
      <c r="J112" s="18"/>
      <c r="K112" s="19"/>
      <c r="L112" s="19"/>
      <c r="M112" s="19"/>
      <c r="N112" s="19"/>
      <c r="O112" s="19"/>
    </row>
    <row r="113" spans="1:15" ht="14.4" x14ac:dyDescent="0.35">
      <c r="A113" s="19"/>
      <c r="B113" s="21"/>
      <c r="C113" s="22"/>
      <c r="D113" s="34"/>
      <c r="E113" s="34"/>
      <c r="F113" s="34"/>
      <c r="G113" s="35"/>
      <c r="H113" s="19"/>
      <c r="I113" s="19"/>
      <c r="J113" s="18"/>
      <c r="K113" s="19"/>
      <c r="L113" s="19"/>
      <c r="M113" s="19"/>
      <c r="N113" s="19"/>
      <c r="O113" s="19"/>
    </row>
    <row r="114" spans="1:15" ht="14.4" x14ac:dyDescent="0.35">
      <c r="A114" s="19"/>
      <c r="B114" s="21"/>
      <c r="C114" s="22"/>
      <c r="D114" s="34"/>
      <c r="E114" s="34"/>
      <c r="F114" s="34"/>
      <c r="G114" s="35"/>
      <c r="H114" s="19"/>
      <c r="I114" s="19"/>
      <c r="J114" s="18"/>
      <c r="K114" s="19"/>
      <c r="L114" s="19"/>
      <c r="M114" s="19"/>
      <c r="N114" s="19"/>
      <c r="O114" s="19"/>
    </row>
    <row r="115" spans="1:15" ht="14.4" x14ac:dyDescent="0.35">
      <c r="A115" s="19"/>
      <c r="B115" s="21"/>
      <c r="C115" s="22"/>
      <c r="D115" s="34"/>
      <c r="E115" s="34"/>
      <c r="F115" s="34"/>
      <c r="G115" s="35"/>
      <c r="H115" s="19"/>
      <c r="I115" s="19"/>
      <c r="J115" s="18"/>
      <c r="K115" s="19"/>
      <c r="L115" s="19"/>
      <c r="M115" s="19"/>
      <c r="N115" s="19"/>
      <c r="O115" s="19"/>
    </row>
    <row r="116" spans="1:15" ht="14.4" x14ac:dyDescent="0.35">
      <c r="A116" s="19"/>
      <c r="B116" s="21"/>
      <c r="C116" s="22"/>
      <c r="D116" s="34"/>
      <c r="E116" s="34"/>
      <c r="F116" s="34"/>
      <c r="G116" s="35"/>
      <c r="H116" s="19"/>
      <c r="I116" s="19"/>
      <c r="J116" s="18"/>
      <c r="K116" s="19"/>
      <c r="L116" s="19"/>
      <c r="M116" s="19"/>
      <c r="N116" s="19"/>
      <c r="O116" s="19"/>
    </row>
    <row r="117" spans="1:15" ht="14.4" x14ac:dyDescent="0.35">
      <c r="A117" s="19"/>
      <c r="B117" s="21"/>
      <c r="C117" s="22"/>
      <c r="D117" s="34"/>
      <c r="E117" s="34"/>
      <c r="F117" s="34"/>
      <c r="G117" s="35"/>
      <c r="H117" s="19"/>
      <c r="I117" s="19"/>
      <c r="J117" s="18"/>
      <c r="K117" s="19"/>
      <c r="L117" s="19"/>
      <c r="M117" s="19"/>
      <c r="N117" s="19"/>
      <c r="O117" s="19"/>
    </row>
    <row r="118" spans="1:15" ht="14.4" x14ac:dyDescent="0.35">
      <c r="A118" s="19"/>
      <c r="B118" s="21"/>
      <c r="C118" s="22"/>
      <c r="D118" s="34"/>
      <c r="E118" s="34"/>
      <c r="F118" s="34"/>
      <c r="G118" s="35"/>
      <c r="H118" s="19"/>
      <c r="I118" s="19"/>
      <c r="J118" s="18"/>
      <c r="K118" s="19"/>
      <c r="L118" s="19"/>
      <c r="M118" s="19"/>
      <c r="N118" s="19"/>
      <c r="O118" s="19"/>
    </row>
    <row r="119" spans="1:15" ht="14.4" x14ac:dyDescent="0.35">
      <c r="A119" s="19"/>
      <c r="B119" s="21"/>
      <c r="C119" s="22"/>
      <c r="D119" s="34"/>
      <c r="E119" s="34"/>
      <c r="F119" s="34"/>
      <c r="G119" s="35"/>
      <c r="H119" s="19"/>
      <c r="I119" s="19"/>
      <c r="J119" s="18"/>
      <c r="K119" s="19"/>
      <c r="L119" s="19"/>
      <c r="M119" s="19"/>
      <c r="N119" s="19"/>
      <c r="O119" s="19"/>
    </row>
    <row r="120" spans="1:15" ht="14.4" x14ac:dyDescent="0.35">
      <c r="A120" s="19"/>
      <c r="B120" s="21"/>
      <c r="C120" s="22"/>
      <c r="D120" s="34"/>
      <c r="E120" s="34"/>
      <c r="F120" s="34"/>
      <c r="G120" s="35"/>
      <c r="H120" s="19"/>
      <c r="I120" s="19"/>
      <c r="J120" s="18"/>
      <c r="K120" s="19"/>
      <c r="L120" s="19"/>
      <c r="M120" s="19"/>
      <c r="N120" s="19"/>
      <c r="O120" s="19"/>
    </row>
    <row r="121" spans="1:15" ht="14.4" x14ac:dyDescent="0.35">
      <c r="A121" s="19"/>
      <c r="B121" s="21"/>
      <c r="C121" s="22"/>
      <c r="D121" s="34"/>
      <c r="E121" s="34"/>
      <c r="F121" s="34"/>
      <c r="G121" s="35"/>
      <c r="H121" s="19"/>
      <c r="I121" s="19"/>
      <c r="J121" s="18"/>
      <c r="K121" s="19"/>
      <c r="L121" s="19"/>
      <c r="M121" s="19"/>
      <c r="N121" s="19"/>
      <c r="O121" s="19"/>
    </row>
    <row r="122" spans="1:15" ht="14.4" x14ac:dyDescent="0.35">
      <c r="A122" s="19"/>
      <c r="B122" s="21"/>
      <c r="C122" s="22"/>
      <c r="D122" s="34"/>
      <c r="E122" s="34"/>
      <c r="F122" s="34"/>
      <c r="G122" s="35"/>
      <c r="H122" s="19"/>
      <c r="I122" s="19"/>
      <c r="J122" s="18"/>
      <c r="K122" s="19"/>
      <c r="L122" s="19"/>
      <c r="M122" s="19"/>
      <c r="N122" s="19"/>
      <c r="O122" s="19"/>
    </row>
    <row r="123" spans="1:15" ht="14.4" x14ac:dyDescent="0.35">
      <c r="A123" s="19"/>
      <c r="B123" s="22"/>
      <c r="C123" s="22"/>
      <c r="D123" s="34"/>
      <c r="E123" s="34"/>
      <c r="F123" s="34"/>
      <c r="G123" s="35"/>
      <c r="H123" s="19"/>
      <c r="I123" s="19"/>
      <c r="J123" s="18"/>
      <c r="K123" s="19"/>
      <c r="L123" s="19"/>
      <c r="M123" s="19"/>
      <c r="N123" s="19"/>
      <c r="O123" s="19"/>
    </row>
    <row r="124" spans="1:15" ht="14.4" x14ac:dyDescent="0.35">
      <c r="A124" s="19"/>
      <c r="B124" s="22"/>
      <c r="C124" s="22"/>
      <c r="D124" s="34"/>
      <c r="E124" s="34"/>
      <c r="F124" s="34"/>
      <c r="G124" s="35"/>
      <c r="H124" s="19"/>
      <c r="I124" s="19"/>
      <c r="J124" s="18"/>
      <c r="K124" s="19"/>
      <c r="L124" s="19"/>
      <c r="M124" s="19"/>
      <c r="N124" s="19"/>
      <c r="O124" s="19"/>
    </row>
    <row r="125" spans="1:15" ht="14.4" x14ac:dyDescent="0.35">
      <c r="A125" s="19"/>
      <c r="J125" s="18"/>
      <c r="K125" s="19"/>
      <c r="L125" s="19"/>
      <c r="M125" s="19"/>
      <c r="N125" s="19"/>
      <c r="O125" s="19"/>
    </row>
    <row r="126" spans="1:15" ht="14.4" x14ac:dyDescent="0.35">
      <c r="A126" s="19"/>
      <c r="J126" s="18"/>
      <c r="K126" s="19"/>
      <c r="L126" s="19"/>
      <c r="M126" s="19"/>
      <c r="N126" s="19"/>
      <c r="O126" s="19"/>
    </row>
    <row r="127" spans="1:15" ht="14.4" x14ac:dyDescent="0.35">
      <c r="A127" s="19"/>
      <c r="J127" s="22"/>
      <c r="K127" s="22"/>
      <c r="L127" s="22"/>
      <c r="M127" s="22"/>
      <c r="N127" s="22"/>
      <c r="O127" s="22"/>
    </row>
    <row r="128" spans="1:15" x14ac:dyDescent="0.25">
      <c r="J128" s="22"/>
      <c r="K128" s="22"/>
      <c r="L128" s="22"/>
      <c r="M128" s="22"/>
      <c r="N128" s="22"/>
      <c r="O128" s="22"/>
    </row>
  </sheetData>
  <mergeCells count="6">
    <mergeCell ref="B34:I34"/>
    <mergeCell ref="B35:I36"/>
    <mergeCell ref="J1:O1"/>
    <mergeCell ref="B2:G2"/>
    <mergeCell ref="B3:G3"/>
    <mergeCell ref="B4:G4"/>
  </mergeCells>
  <phoneticPr fontId="9" type="noConversion"/>
  <pageMargins left="0.17" right="0.17" top="0.26" bottom="0.24" header="0.28000000000000003" footer="0.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8194-29BB-4659-A284-1C32201036AA}">
  <dimension ref="A2:T37"/>
  <sheetViews>
    <sheetView workbookViewId="0">
      <selection activeCell="N10" sqref="N10"/>
    </sheetView>
  </sheetViews>
  <sheetFormatPr defaultRowHeight="13.2" x14ac:dyDescent="0.25"/>
  <cols>
    <col min="1" max="1" width="22" customWidth="1"/>
    <col min="20" max="20" width="9.33203125" customWidth="1"/>
    <col min="23" max="23" width="10" customWidth="1"/>
  </cols>
  <sheetData>
    <row r="2" spans="1:20" x14ac:dyDescent="0.25">
      <c r="A2" s="55" t="s">
        <v>61</v>
      </c>
    </row>
    <row r="4" spans="1:20" ht="13.95" customHeight="1" x14ac:dyDescent="0.25">
      <c r="A4" s="189" t="s">
        <v>173</v>
      </c>
      <c r="B4" s="189"/>
      <c r="C4" s="189"/>
      <c r="D4" s="189"/>
      <c r="E4" s="189"/>
      <c r="F4" s="189"/>
    </row>
    <row r="5" spans="1:20" ht="14.4" x14ac:dyDescent="0.25">
      <c r="A5" s="190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7" spans="1:20" x14ac:dyDescent="0.25">
      <c r="A7" s="42" t="s">
        <v>172</v>
      </c>
      <c r="B7">
        <v>0</v>
      </c>
      <c r="C7">
        <v>1</v>
      </c>
      <c r="D7">
        <v>2</v>
      </c>
      <c r="E7">
        <v>3</v>
      </c>
      <c r="F7">
        <v>4</v>
      </c>
      <c r="G7">
        <v>5</v>
      </c>
      <c r="H7">
        <v>6</v>
      </c>
      <c r="I7">
        <v>7</v>
      </c>
    </row>
    <row r="8" spans="1:20" ht="14.4" x14ac:dyDescent="0.25">
      <c r="A8" s="41" t="s">
        <v>49</v>
      </c>
      <c r="B8">
        <v>-12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f>4+3</f>
        <v>7</v>
      </c>
    </row>
    <row r="9" spans="1:20" ht="14.4" x14ac:dyDescent="0.25">
      <c r="A9" s="43" t="s">
        <v>45</v>
      </c>
      <c r="B9" s="147">
        <f>NPV(0.08,C8:L8)+B8</f>
        <v>10.575951422679694</v>
      </c>
      <c r="C9" s="147"/>
      <c r="D9" s="147"/>
      <c r="E9" s="147"/>
      <c r="F9" s="147"/>
      <c r="G9" s="147"/>
      <c r="H9" s="147"/>
      <c r="I9" s="147"/>
      <c r="M9" s="153"/>
    </row>
    <row r="11" spans="1:20" ht="14.4" x14ac:dyDescent="0.25">
      <c r="A11" s="43" t="s">
        <v>46</v>
      </c>
      <c r="B11" s="146">
        <f>IRR(B8:L8,0.08)</f>
        <v>0.28924423978627245</v>
      </c>
      <c r="T11" s="130"/>
    </row>
    <row r="13" spans="1:20" x14ac:dyDescent="0.25">
      <c r="A13" s="42" t="s">
        <v>48</v>
      </c>
      <c r="B13">
        <f t="shared" ref="B13:L13" si="0">B7</f>
        <v>0</v>
      </c>
      <c r="C13">
        <f t="shared" si="0"/>
        <v>1</v>
      </c>
      <c r="D13">
        <f t="shared" si="0"/>
        <v>2</v>
      </c>
      <c r="E13">
        <f t="shared" si="0"/>
        <v>3</v>
      </c>
      <c r="F13">
        <f t="shared" si="0"/>
        <v>4</v>
      </c>
      <c r="G13">
        <f t="shared" si="0"/>
        <v>5</v>
      </c>
      <c r="H13">
        <f t="shared" si="0"/>
        <v>6</v>
      </c>
      <c r="I13">
        <f t="shared" si="0"/>
        <v>7</v>
      </c>
      <c r="J13">
        <f t="shared" si="0"/>
        <v>0</v>
      </c>
      <c r="K13">
        <f t="shared" si="0"/>
        <v>0</v>
      </c>
      <c r="L13">
        <f t="shared" si="0"/>
        <v>0</v>
      </c>
    </row>
    <row r="14" spans="1:20" ht="14.4" x14ac:dyDescent="0.25">
      <c r="A14" s="41" t="s">
        <v>49</v>
      </c>
      <c r="B14">
        <v>-12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f>4+3</f>
        <v>7</v>
      </c>
    </row>
    <row r="15" spans="1:20" x14ac:dyDescent="0.25">
      <c r="A15" s="24" t="s">
        <v>50</v>
      </c>
      <c r="B15">
        <v>-12</v>
      </c>
      <c r="C15">
        <f>B15+C14</f>
        <v>-8</v>
      </c>
      <c r="D15">
        <f t="shared" ref="D15:I15" si="1">C15+D14</f>
        <v>-4</v>
      </c>
      <c r="E15">
        <f t="shared" si="1"/>
        <v>0</v>
      </c>
      <c r="F15">
        <f t="shared" si="1"/>
        <v>4</v>
      </c>
      <c r="G15">
        <f t="shared" si="1"/>
        <v>8</v>
      </c>
      <c r="H15">
        <f t="shared" si="1"/>
        <v>12</v>
      </c>
      <c r="I15">
        <f t="shared" si="1"/>
        <v>19</v>
      </c>
    </row>
    <row r="16" spans="1:20" x14ac:dyDescent="0.25">
      <c r="A16" s="24"/>
    </row>
    <row r="17" spans="1:12" x14ac:dyDescent="0.25">
      <c r="A17" s="42" t="s">
        <v>51</v>
      </c>
      <c r="D17" t="s">
        <v>174</v>
      </c>
      <c r="E17">
        <f>-$D$15/$E$14*365</f>
        <v>365</v>
      </c>
      <c r="F17" t="s">
        <v>175</v>
      </c>
    </row>
    <row r="18" spans="1:12" x14ac:dyDescent="0.25">
      <c r="E18" s="148">
        <f>-($D$15/$E$14)</f>
        <v>1</v>
      </c>
      <c r="F18" t="s">
        <v>176</v>
      </c>
    </row>
    <row r="19" spans="1:12" x14ac:dyDescent="0.25">
      <c r="E19" s="148">
        <f>-($D$15/$E$14)</f>
        <v>1</v>
      </c>
      <c r="F19" t="s">
        <v>55</v>
      </c>
    </row>
    <row r="22" spans="1:12" ht="14.4" x14ac:dyDescent="0.25">
      <c r="A22" s="190" t="s">
        <v>179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5" spans="1:12" x14ac:dyDescent="0.25">
      <c r="A25" s="42" t="s">
        <v>172</v>
      </c>
      <c r="B25">
        <v>0</v>
      </c>
      <c r="C25">
        <v>1</v>
      </c>
      <c r="D25">
        <v>2</v>
      </c>
      <c r="E25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</row>
    <row r="26" spans="1:12" ht="14.4" x14ac:dyDescent="0.25">
      <c r="A26" s="41" t="s">
        <v>49</v>
      </c>
      <c r="B26">
        <v>-30</v>
      </c>
      <c r="C26">
        <v>7</v>
      </c>
      <c r="D26">
        <v>7</v>
      </c>
      <c r="E26">
        <v>7</v>
      </c>
      <c r="F26">
        <v>7</v>
      </c>
      <c r="G26">
        <v>7</v>
      </c>
      <c r="H26">
        <v>7</v>
      </c>
      <c r="I26">
        <v>7</v>
      </c>
      <c r="J26">
        <v>7</v>
      </c>
      <c r="K26">
        <v>7</v>
      </c>
      <c r="L26">
        <f>7+15</f>
        <v>22</v>
      </c>
    </row>
    <row r="27" spans="1:12" ht="14.4" x14ac:dyDescent="0.25">
      <c r="A27" s="43" t="s">
        <v>45</v>
      </c>
      <c r="B27" s="147">
        <f>NPV(0.08,C26:L26)+B26</f>
        <v>23.918472113860361</v>
      </c>
    </row>
    <row r="29" spans="1:12" ht="14.4" x14ac:dyDescent="0.25">
      <c r="A29" s="43" t="s">
        <v>46</v>
      </c>
      <c r="B29" s="146">
        <f>IRR(B26:L26,0.08)</f>
        <v>0.21549213215260887</v>
      </c>
    </row>
    <row r="31" spans="1:12" x14ac:dyDescent="0.25">
      <c r="A31" s="42" t="s">
        <v>48</v>
      </c>
      <c r="B31">
        <v>0</v>
      </c>
      <c r="C31">
        <v>1</v>
      </c>
      <c r="D31">
        <v>2</v>
      </c>
      <c r="E31">
        <v>3</v>
      </c>
      <c r="F31">
        <v>4</v>
      </c>
      <c r="G31">
        <v>5</v>
      </c>
      <c r="H31">
        <v>6</v>
      </c>
      <c r="I31">
        <v>7</v>
      </c>
      <c r="J31">
        <v>8</v>
      </c>
      <c r="K31">
        <v>9</v>
      </c>
      <c r="L31">
        <v>10</v>
      </c>
    </row>
    <row r="32" spans="1:12" ht="14.4" x14ac:dyDescent="0.25">
      <c r="A32" s="41" t="s">
        <v>49</v>
      </c>
      <c r="B32">
        <v>-30</v>
      </c>
      <c r="C32">
        <v>7</v>
      </c>
      <c r="D32">
        <v>7</v>
      </c>
      <c r="E32">
        <v>7</v>
      </c>
      <c r="F32">
        <v>7</v>
      </c>
      <c r="G32">
        <v>7</v>
      </c>
      <c r="H32">
        <v>7</v>
      </c>
      <c r="I32">
        <v>7</v>
      </c>
      <c r="J32">
        <v>7</v>
      </c>
      <c r="K32">
        <v>7</v>
      </c>
      <c r="L32">
        <f>7+15</f>
        <v>22</v>
      </c>
    </row>
    <row r="33" spans="1:19" x14ac:dyDescent="0.25">
      <c r="A33" s="24" t="s">
        <v>50</v>
      </c>
      <c r="B33">
        <f>B32</f>
        <v>-30</v>
      </c>
      <c r="C33">
        <f>B33+C32</f>
        <v>-23</v>
      </c>
      <c r="D33">
        <f t="shared" ref="D33:L33" si="2">C33+D32</f>
        <v>-16</v>
      </c>
      <c r="E33">
        <f t="shared" si="2"/>
        <v>-9</v>
      </c>
      <c r="F33">
        <f t="shared" si="2"/>
        <v>-2</v>
      </c>
      <c r="G33">
        <f t="shared" si="2"/>
        <v>5</v>
      </c>
      <c r="H33">
        <f t="shared" si="2"/>
        <v>12</v>
      </c>
      <c r="I33">
        <f t="shared" si="2"/>
        <v>19</v>
      </c>
      <c r="J33">
        <f t="shared" si="2"/>
        <v>26</v>
      </c>
      <c r="K33">
        <f t="shared" si="2"/>
        <v>33</v>
      </c>
      <c r="L33">
        <f t="shared" si="2"/>
        <v>55</v>
      </c>
    </row>
    <row r="34" spans="1:19" x14ac:dyDescent="0.25">
      <c r="A34" s="24"/>
    </row>
    <row r="35" spans="1:19" x14ac:dyDescent="0.25">
      <c r="A35" s="42" t="s">
        <v>51</v>
      </c>
      <c r="F35" t="s">
        <v>177</v>
      </c>
      <c r="G35" s="148">
        <f>-($F$33/$G$32)*365</f>
        <v>104.28571428571428</v>
      </c>
      <c r="H35" t="s">
        <v>175</v>
      </c>
      <c r="S35" s="130"/>
    </row>
    <row r="36" spans="1:19" x14ac:dyDescent="0.25">
      <c r="G36" s="148">
        <f>-($F$33/$G$32)*12</f>
        <v>3.4285714285714284</v>
      </c>
      <c r="H36" t="s">
        <v>176</v>
      </c>
    </row>
    <row r="37" spans="1:19" x14ac:dyDescent="0.25">
      <c r="G37" s="148">
        <f>-($F$33/$G$32)</f>
        <v>0.2857142857142857</v>
      </c>
      <c r="H37" t="s">
        <v>55</v>
      </c>
    </row>
  </sheetData>
  <mergeCells count="3">
    <mergeCell ref="A4:F4"/>
    <mergeCell ref="A5:L5"/>
    <mergeCell ref="A22:L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topLeftCell="A13" workbookViewId="0">
      <selection activeCell="B24" sqref="B24"/>
    </sheetView>
  </sheetViews>
  <sheetFormatPr defaultRowHeight="13.2" x14ac:dyDescent="0.25"/>
  <cols>
    <col min="1" max="1" width="42.33203125" customWidth="1"/>
    <col min="2" max="2" width="11.44140625" customWidth="1"/>
    <col min="3" max="3" width="13.5546875" customWidth="1"/>
    <col min="4" max="4" width="16.6640625" bestFit="1" customWidth="1"/>
    <col min="5" max="9" width="11.6640625" bestFit="1" customWidth="1"/>
  </cols>
  <sheetData>
    <row r="1" spans="1:12" x14ac:dyDescent="0.25">
      <c r="A1" s="42" t="s">
        <v>57</v>
      </c>
    </row>
    <row r="2" spans="1:12" ht="16.95" customHeight="1" x14ac:dyDescent="0.25">
      <c r="A2" s="41" t="s">
        <v>47</v>
      </c>
    </row>
    <row r="3" spans="1:12" ht="14.4" x14ac:dyDescent="0.25">
      <c r="A3" s="190" t="s">
        <v>58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5" spans="1:12" x14ac:dyDescent="0.25">
      <c r="A5" s="42" t="s">
        <v>48</v>
      </c>
      <c r="B5" s="42">
        <v>0</v>
      </c>
      <c r="C5" s="42">
        <v>1</v>
      </c>
      <c r="D5" s="42">
        <v>2</v>
      </c>
      <c r="E5" s="42">
        <v>3</v>
      </c>
      <c r="F5" s="42">
        <v>4</v>
      </c>
      <c r="G5" s="42">
        <v>5</v>
      </c>
      <c r="H5" s="42">
        <v>6</v>
      </c>
      <c r="I5" s="42">
        <v>7</v>
      </c>
      <c r="J5" s="42">
        <v>8</v>
      </c>
      <c r="K5" s="42">
        <v>9</v>
      </c>
      <c r="L5" s="42">
        <v>10</v>
      </c>
    </row>
    <row r="6" spans="1:12" ht="14.4" x14ac:dyDescent="0.25">
      <c r="A6" s="41" t="s">
        <v>49</v>
      </c>
      <c r="B6">
        <v>-77</v>
      </c>
      <c r="C6">
        <v>-4</v>
      </c>
      <c r="D6">
        <v>5</v>
      </c>
      <c r="E6">
        <v>15</v>
      </c>
      <c r="F6">
        <v>20</v>
      </c>
      <c r="G6">
        <v>20</v>
      </c>
      <c r="H6">
        <v>20</v>
      </c>
      <c r="I6">
        <v>25</v>
      </c>
      <c r="J6">
        <v>25</v>
      </c>
      <c r="K6">
        <v>10</v>
      </c>
      <c r="L6">
        <f>11+2</f>
        <v>13</v>
      </c>
    </row>
    <row r="7" spans="1:12" ht="14.4" x14ac:dyDescent="0.25">
      <c r="A7" s="43" t="s">
        <v>45</v>
      </c>
      <c r="B7" s="44">
        <f>NPV(0.1,C6:L6)+B6</f>
        <v>5.878440358998489</v>
      </c>
    </row>
    <row r="9" spans="1:12" ht="14.4" x14ac:dyDescent="0.25">
      <c r="A9" s="43" t="s">
        <v>46</v>
      </c>
      <c r="B9" s="45">
        <f>IRR(B6:L6, 0.1)</f>
        <v>0.11370810842533685</v>
      </c>
    </row>
    <row r="11" spans="1:12" x14ac:dyDescent="0.25">
      <c r="A11" s="42" t="s">
        <v>48</v>
      </c>
      <c r="B11" s="42">
        <v>0</v>
      </c>
      <c r="C11" s="42">
        <v>1</v>
      </c>
      <c r="D11" s="42">
        <v>2</v>
      </c>
      <c r="E11" s="42">
        <v>3</v>
      </c>
      <c r="F11" s="42">
        <v>4</v>
      </c>
      <c r="G11" s="42">
        <v>5</v>
      </c>
      <c r="H11" s="42">
        <v>6</v>
      </c>
      <c r="I11" s="42">
        <v>7</v>
      </c>
      <c r="J11" s="42">
        <v>8</v>
      </c>
      <c r="K11" s="42">
        <v>9</v>
      </c>
      <c r="L11" s="42">
        <v>10</v>
      </c>
    </row>
    <row r="12" spans="1:12" ht="14.4" x14ac:dyDescent="0.25">
      <c r="A12" s="41" t="s">
        <v>49</v>
      </c>
      <c r="B12">
        <v>-77</v>
      </c>
      <c r="C12">
        <v>-4</v>
      </c>
      <c r="D12">
        <v>5</v>
      </c>
      <c r="E12">
        <v>15</v>
      </c>
      <c r="F12">
        <v>20</v>
      </c>
      <c r="G12">
        <v>20</v>
      </c>
      <c r="H12">
        <v>20</v>
      </c>
      <c r="I12">
        <v>25</v>
      </c>
      <c r="J12">
        <v>25</v>
      </c>
      <c r="K12">
        <v>10</v>
      </c>
      <c r="L12">
        <f>11+2</f>
        <v>13</v>
      </c>
    </row>
    <row r="13" spans="1:12" x14ac:dyDescent="0.25">
      <c r="A13" s="24" t="s">
        <v>50</v>
      </c>
      <c r="B13">
        <f>B12</f>
        <v>-77</v>
      </c>
      <c r="C13">
        <f>B13+C12</f>
        <v>-81</v>
      </c>
      <c r="D13">
        <f>C13+D12</f>
        <v>-76</v>
      </c>
      <c r="E13">
        <f>D13+E12</f>
        <v>-61</v>
      </c>
      <c r="F13">
        <f t="shared" ref="F13:L13" si="0">E13+F12</f>
        <v>-41</v>
      </c>
      <c r="G13">
        <f t="shared" si="0"/>
        <v>-21</v>
      </c>
      <c r="H13">
        <f t="shared" si="0"/>
        <v>-1</v>
      </c>
      <c r="I13">
        <f t="shared" si="0"/>
        <v>24</v>
      </c>
      <c r="J13">
        <f t="shared" si="0"/>
        <v>49</v>
      </c>
      <c r="K13">
        <f t="shared" si="0"/>
        <v>59</v>
      </c>
      <c r="L13">
        <f t="shared" si="0"/>
        <v>72</v>
      </c>
    </row>
    <row r="14" spans="1:12" x14ac:dyDescent="0.25">
      <c r="A14" s="24"/>
    </row>
    <row r="15" spans="1:12" x14ac:dyDescent="0.25">
      <c r="A15" s="42" t="s">
        <v>51</v>
      </c>
      <c r="B15" s="42" t="s">
        <v>52</v>
      </c>
      <c r="C15" s="42">
        <f>-$H$13/$I$12*365</f>
        <v>14.6</v>
      </c>
      <c r="D15" s="42" t="s">
        <v>53</v>
      </c>
      <c r="H15" s="42"/>
      <c r="I15" s="42"/>
      <c r="J15" s="42"/>
    </row>
    <row r="16" spans="1:12" x14ac:dyDescent="0.25">
      <c r="B16" s="42"/>
      <c r="C16" s="42">
        <f>-$H$13/$I$12*12</f>
        <v>0.48</v>
      </c>
      <c r="D16" s="42" t="s">
        <v>54</v>
      </c>
      <c r="H16" s="42"/>
      <c r="I16" s="42"/>
      <c r="J16" s="42"/>
    </row>
    <row r="17" spans="1:12" x14ac:dyDescent="0.25">
      <c r="B17" s="42"/>
      <c r="C17" s="42">
        <f>-$H$13/$I$12</f>
        <v>0.04</v>
      </c>
      <c r="D17" s="42" t="s">
        <v>55</v>
      </c>
      <c r="H17" s="42"/>
      <c r="I17" s="42"/>
      <c r="J17" s="42"/>
    </row>
    <row r="20" spans="1:12" ht="14.4" x14ac:dyDescent="0.25">
      <c r="A20" s="190" t="s">
        <v>59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2" spans="1:12" x14ac:dyDescent="0.25">
      <c r="A22" s="42" t="s">
        <v>48</v>
      </c>
      <c r="B22" s="42">
        <v>0</v>
      </c>
      <c r="C22" s="42">
        <v>1</v>
      </c>
      <c r="D22" s="42">
        <v>2</v>
      </c>
      <c r="E22" s="42">
        <v>3</v>
      </c>
      <c r="F22" s="42">
        <v>4</v>
      </c>
      <c r="G22" s="42">
        <v>5</v>
      </c>
      <c r="H22" s="42">
        <v>6</v>
      </c>
      <c r="I22" s="42">
        <v>7</v>
      </c>
      <c r="J22" s="42">
        <v>8</v>
      </c>
      <c r="K22" s="42">
        <v>9</v>
      </c>
      <c r="L22" s="42">
        <v>10</v>
      </c>
    </row>
    <row r="23" spans="1:12" ht="14.4" x14ac:dyDescent="0.25">
      <c r="A23" s="41" t="s">
        <v>49</v>
      </c>
      <c r="B23">
        <v>-135</v>
      </c>
      <c r="C23">
        <v>-5</v>
      </c>
      <c r="D23">
        <v>-1</v>
      </c>
      <c r="E23">
        <v>10</v>
      </c>
      <c r="F23">
        <v>15</v>
      </c>
      <c r="G23">
        <v>15</v>
      </c>
      <c r="H23">
        <v>20</v>
      </c>
      <c r="I23">
        <v>20</v>
      </c>
      <c r="J23">
        <v>20</v>
      </c>
      <c r="K23">
        <v>25</v>
      </c>
      <c r="L23">
        <f>15-1.5</f>
        <v>13.5</v>
      </c>
    </row>
    <row r="24" spans="1:12" ht="14.4" x14ac:dyDescent="0.25">
      <c r="A24" s="43" t="s">
        <v>45</v>
      </c>
      <c r="B24" s="44">
        <f>NPV(0.1,C23:L23)+B23</f>
        <v>-66.609667704572004</v>
      </c>
    </row>
    <row r="26" spans="1:12" ht="14.4" x14ac:dyDescent="0.25">
      <c r="A26" s="43" t="s">
        <v>46</v>
      </c>
      <c r="B26" s="45">
        <f>IRR(B23:L23, 0.1)</f>
        <v>-2.6354083980250076E-3</v>
      </c>
    </row>
    <row r="28" spans="1:12" x14ac:dyDescent="0.25">
      <c r="A28" s="42" t="s">
        <v>48</v>
      </c>
      <c r="B28" s="42">
        <v>0</v>
      </c>
      <c r="C28" s="42">
        <v>1</v>
      </c>
      <c r="D28" s="42">
        <v>2</v>
      </c>
      <c r="E28" s="42">
        <v>3</v>
      </c>
      <c r="F28" s="42">
        <v>4</v>
      </c>
      <c r="G28" s="42">
        <v>5</v>
      </c>
      <c r="H28" s="42">
        <v>6</v>
      </c>
      <c r="I28" s="42">
        <v>7</v>
      </c>
      <c r="J28" s="42">
        <v>8</v>
      </c>
      <c r="K28" s="42">
        <v>9</v>
      </c>
      <c r="L28" s="42">
        <v>10</v>
      </c>
    </row>
    <row r="29" spans="1:12" ht="14.4" x14ac:dyDescent="0.25">
      <c r="A29" s="41" t="s">
        <v>49</v>
      </c>
      <c r="B29">
        <v>-135</v>
      </c>
      <c r="C29">
        <v>-5</v>
      </c>
      <c r="D29">
        <v>-1</v>
      </c>
      <c r="E29">
        <v>10</v>
      </c>
      <c r="F29">
        <v>15</v>
      </c>
      <c r="G29">
        <v>15</v>
      </c>
      <c r="H29">
        <v>20</v>
      </c>
      <c r="I29">
        <v>20</v>
      </c>
      <c r="J29">
        <v>20</v>
      </c>
      <c r="K29">
        <v>25</v>
      </c>
      <c r="L29">
        <f>15-1.5</f>
        <v>13.5</v>
      </c>
    </row>
    <row r="30" spans="1:12" x14ac:dyDescent="0.25">
      <c r="A30" s="24" t="s">
        <v>50</v>
      </c>
      <c r="B30">
        <f>B29</f>
        <v>-135</v>
      </c>
      <c r="C30">
        <f t="shared" ref="C30:L30" si="1">B30+C29</f>
        <v>-140</v>
      </c>
      <c r="D30">
        <f t="shared" si="1"/>
        <v>-141</v>
      </c>
      <c r="E30">
        <f t="shared" si="1"/>
        <v>-131</v>
      </c>
      <c r="F30">
        <f t="shared" si="1"/>
        <v>-116</v>
      </c>
      <c r="G30">
        <f t="shared" si="1"/>
        <v>-101</v>
      </c>
      <c r="H30">
        <f t="shared" si="1"/>
        <v>-81</v>
      </c>
      <c r="I30">
        <f t="shared" si="1"/>
        <v>-61</v>
      </c>
      <c r="J30">
        <f t="shared" si="1"/>
        <v>-41</v>
      </c>
      <c r="K30">
        <f t="shared" si="1"/>
        <v>-16</v>
      </c>
      <c r="L30">
        <f t="shared" si="1"/>
        <v>-2.5</v>
      </c>
    </row>
    <row r="31" spans="1:12" x14ac:dyDescent="0.25">
      <c r="A31" s="24"/>
    </row>
    <row r="32" spans="1:12" x14ac:dyDescent="0.25">
      <c r="A32" s="42" t="s">
        <v>51</v>
      </c>
      <c r="B32" s="42" t="s">
        <v>56</v>
      </c>
      <c r="I32" s="42"/>
      <c r="J32" s="42"/>
    </row>
    <row r="33" spans="8:10" x14ac:dyDescent="0.25">
      <c r="H33" s="42"/>
      <c r="I33" s="42"/>
      <c r="J33" s="42"/>
    </row>
  </sheetData>
  <mergeCells count="2">
    <mergeCell ref="A3:L3"/>
    <mergeCell ref="A20:L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BC582634D85478A37DBF5E33C48EA" ma:contentTypeVersion="13" ma:contentTypeDescription="Create a new document." ma:contentTypeScope="" ma:versionID="2614c446e8cfffc5086ab47e48d9f287">
  <xsd:schema xmlns:xsd="http://www.w3.org/2001/XMLSchema" xmlns:xs="http://www.w3.org/2001/XMLSchema" xmlns:p="http://schemas.microsoft.com/office/2006/metadata/properties" xmlns:ns3="220b8d5d-1ab7-47a5-81bb-3ff09103559d" xmlns:ns4="cc2aefb3-148d-4155-9c2b-002fe85b3dca" targetNamespace="http://schemas.microsoft.com/office/2006/metadata/properties" ma:root="true" ma:fieldsID="6080f76b43465ed11bcc6a83566ae3a0" ns3:_="" ns4:_="">
    <xsd:import namespace="220b8d5d-1ab7-47a5-81bb-3ff09103559d"/>
    <xsd:import namespace="cc2aefb3-148d-4155-9c2b-002fe85b3d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b8d5d-1ab7-47a5-81bb-3ff091035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efb3-148d-4155-9c2b-002fe85b3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994520-EB9F-4D76-9B3E-3F8E6B1BC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b8d5d-1ab7-47a5-81bb-3ff09103559d"/>
    <ds:schemaRef ds:uri="cc2aefb3-148d-4155-9c2b-002fe85b3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FEDE40-19AF-49BD-B660-79A472AE6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1060EC-D672-4DBA-933F-0C13F9C774D2}">
  <ds:schemaRefs>
    <ds:schemaRef ds:uri="220b8d5d-1ab7-47a5-81bb-3ff09103559d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cc2aefb3-148d-4155-9c2b-002fe85b3dc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590540ad-24f6-4603-bebb-fc2239ec787a}" enabled="1" method="Privileged" siteId="{fdade0c4-3fea-4320-ae53-1a1742aeff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 Statements</vt:lpstr>
      <vt:lpstr>Ratios</vt:lpstr>
      <vt:lpstr>NPV, IRR</vt:lpstr>
      <vt:lpstr>Wesfarmers Example</vt:lpstr>
    </vt:vector>
  </TitlesOfParts>
  <Company>Dept of 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emma.biggs</dc:creator>
  <cp:lastModifiedBy>Sam Sutton | EAA</cp:lastModifiedBy>
  <cp:lastPrinted>2012-05-21T22:10:04Z</cp:lastPrinted>
  <dcterms:created xsi:type="dcterms:W3CDTF">2012-04-30T01:21:48Z</dcterms:created>
  <dcterms:modified xsi:type="dcterms:W3CDTF">2026-02-02T08:28:32Z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0x010100CA9BC582634D85478A37DBF5E33C48EA</vt:lpwstr>
  </property>
</Properties>
</file>